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firstSheet="1" activeTab="1"/>
  </bookViews>
  <sheets>
    <sheet name="OwQjaF2" sheetId="6" state="hidden" r:id="rId1"/>
    <sheet name="概算汇总表"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xlnm._FilterDatabase" localSheetId="1" hidden="1">概算汇总表!$A$3:$G$66</definedName>
    <definedName name="_xlnm.Print_Area" localSheetId="1">概算汇总表!$A$3:$G$46</definedName>
    <definedName name="_Fei1">[1]总表模板!$G$5</definedName>
    <definedName name="_Fei2">[1]总表模板!$G$8</definedName>
    <definedName name="_Fei3">[1]总表模板!$G$19</definedName>
    <definedName name="_zd1">'[2]XL4钢筋(中途泵房)'!$E$17</definedName>
    <definedName name="_zd2">'[2]XL4钢筋(中途泵房)'!$E$22</definedName>
    <definedName name="_zj1">'[2]XL4钢筋(中途泵房)'!$E$18</definedName>
    <definedName name="_zj2">'[2]XL4钢筋(中途泵房)'!$E$23</definedName>
    <definedName name="_zw1">'[2]XL4钢筋(中途泵房)'!$E$30</definedName>
    <definedName name="_zw2">'[2]XL4钢筋(中途泵房)'!$E$32</definedName>
    <definedName name="A">'[2]XL3钢筋(中途泵房)'!$E$14</definedName>
    <definedName name="AnZhuang1">[1]总表模板!$E$5</definedName>
    <definedName name="AnZhuang2">[1]总表模板!$E$8</definedName>
    <definedName name="AnZhuang3">[1]总表模板!$E$19</definedName>
    <definedName name="at">'[2]XL3钢筋(中途泵房)'!$E$8</definedName>
    <definedName name="B">'[2]XL3钢筋(中途泵房)'!$E$20</definedName>
    <definedName name="BO">'[2]XL4钢筋(中途泵房)'!$E$20</definedName>
    <definedName name="BT">'[2]XL4钢筋(中途泵房)'!$E$25</definedName>
    <definedName name="cc">[3]概算总表!$1:$4</definedName>
    <definedName name="CoverRange">[1]封面模板!$A$1:$M$22</definedName>
    <definedName name="d">'[2]XL3钢筋(中途泵房)'!$E$4</definedName>
    <definedName name="dai">[4]概算总表!$1:$4</definedName>
    <definedName name="dc">'[2]XL3钢筋(中途泵房)'!$E$13</definedName>
    <definedName name="DN1600钢">'[5]管材综合单价(真实价)'!#REF!</definedName>
    <definedName name="DN1600钢管">'[5]管材综合单价(真实价)'!#REF!</definedName>
    <definedName name="DW">[6]概算总表!$1:$4</definedName>
    <definedName name="gdw">'[2]XL3钢筋(中途泵房)'!$E$22</definedName>
    <definedName name="gj">'[2]XL3钢筋(中途泵房)'!$E$12</definedName>
    <definedName name="gjw">'[2]XL3钢筋(中途泵房)'!$E$27</definedName>
    <definedName name="gnll">[7]销售收入表和支出!$A$22</definedName>
    <definedName name="gw">'[2]XL3钢筋(中途泵房)'!$E$23</definedName>
    <definedName name="gwll">[7]销售收入表和支出!$A$27</definedName>
    <definedName name="h">'[2]XL3钢筋(中途泵房)'!$E$5</definedName>
    <definedName name="hgl">#REF!</definedName>
    <definedName name="hknx">[7]销售收入表和支出!$A$29</definedName>
    <definedName name="hl">'[2]XL3钢筋(中途泵房)'!$E$29</definedName>
    <definedName name="Input">#REF!</definedName>
    <definedName name="JianZhu1">[1]总表模板!$C$5</definedName>
    <definedName name="JianZhu2">[1]总表模板!$C$8</definedName>
    <definedName name="JianZhu3">[1]总表模板!$C$19</definedName>
    <definedName name="jj">#REF!</definedName>
    <definedName name="JJJ">#REF!</definedName>
    <definedName name="JJJJJJ">#REF!</definedName>
    <definedName name="k">'[2]XL3钢筋(中途泵房)'!$E$10</definedName>
    <definedName name="kw">#REF!</definedName>
    <definedName name="kwl">#REF!</definedName>
    <definedName name="KWWW">#REF!</definedName>
    <definedName name="KWWWWWW">#REF!</definedName>
    <definedName name="l">'[2]XL3钢筋(中途泵房)'!$E$7</definedName>
    <definedName name="lsl">[8]销售收入表和支出!$C$4</definedName>
    <definedName name="lx">[9]概算总表!$1:$4</definedName>
    <definedName name="ms">#REF!</definedName>
    <definedName name="MSSS">#REF!</definedName>
    <definedName name="n">'[2]XL3钢筋(中途泵房)'!$E$3</definedName>
    <definedName name="_xlnm.Print_Titles" hidden="1">#REF!</definedName>
    <definedName name="QiTa1">[1]总表模板!$F$5</definedName>
    <definedName name="QiTa2">[1]总表模板!$F$8</definedName>
    <definedName name="QiTa3">[1]总表模板!$F$19</definedName>
    <definedName name="SheBei1">[1]总表模板!$D$5</definedName>
    <definedName name="SheBei2">[1]总表模板!$D$8</definedName>
    <definedName name="SheBei3">[1]总表模板!$D$19</definedName>
    <definedName name="SSSSS">#REF!</definedName>
    <definedName name="SSSSSSSS">#REF!</definedName>
    <definedName name="SSSSSSSSSS">#REF!</definedName>
    <definedName name="SSSSSSSSSSS">#REF!</definedName>
    <definedName name="SSSSSSSSSSSSS">#REF!</definedName>
    <definedName name="SSSSSSSSSSSSSSSSSSS">#REF!</definedName>
    <definedName name="w">'[2]XL3钢筋(中途泵房)'!$E$6</definedName>
    <definedName name="wg">'[2]XL3钢筋(中途泵房)'!$E$11</definedName>
    <definedName name="yjf">[8]生产成本表!$F$11</definedName>
    <definedName name="yx">[10]概算总表!$1:$4</definedName>
    <definedName name="zd">'[2]XL3钢筋(中途泵房)'!$E$16</definedName>
    <definedName name="zdc">'[2]XL3钢筋(中途泵房)'!$E$19</definedName>
    <definedName name="zdc1">'[2]XL4钢筋(中途泵房)'!$E$19</definedName>
    <definedName name="zdc2">'[2]XL4钢筋(中途泵房)'!$E$24</definedName>
    <definedName name="zdw">'[2]XL3钢筋(中途泵房)'!$E$24</definedName>
    <definedName name="zdw1">'[2]XL4钢筋(中途泵房)'!$E$29</definedName>
    <definedName name="zdw2">'[2]XL4钢筋(中途泵房)'!$E$31</definedName>
    <definedName name="zj">'[2]XL3钢筋(中途泵房)'!$E$18</definedName>
    <definedName name="ztz">[11]ⅡCASS厂址推荐11月调!$G$49</definedName>
    <definedName name="zw">'[2]XL3钢筋(中途泵房)'!$E$25</definedName>
    <definedName name="zwg">'[2]XL3钢筋(中途泵房)'!$E$17</definedName>
    <definedName name="贷款">#REF!</definedName>
    <definedName name="二期">#REF!</definedName>
    <definedName name="概算表">#REF!</definedName>
    <definedName name="管径">#REF!</definedName>
    <definedName name="管实长">#REF!</definedName>
    <definedName name="管长">#REF!</definedName>
    <definedName name="规格_cm">#REF!</definedName>
    <definedName name="好">#REF!</definedName>
    <definedName name="环库">#REF!</definedName>
    <definedName name="江">#REF!</definedName>
    <definedName name="江安">[9]概算总表!$1:$4</definedName>
    <definedName name="井径">#REF!</definedName>
    <definedName name="开挖量">#REF!</definedName>
    <definedName name="开挖深">#REF!</definedName>
    <definedName name="开县">#REF!</definedName>
    <definedName name="拉低">#REF!</definedName>
    <definedName name="利息１">#REF!</definedName>
    <definedName name="设备表">#REF!</definedName>
    <definedName name="投标DN1400钢管">'[5]管材综合单价(投标价)'!#REF!</definedName>
    <definedName name="投标DN1600管">'[5]管材综合单价(投标价)'!#REF!</definedName>
    <definedName name="造价表">#REF!</definedName>
    <definedName name="造价表1">#REF!</definedName>
    <definedName name="长寿概算表">#REF!</definedName>
    <definedName name="资金">#REF!</definedName>
    <definedName name="_5">#REF!</definedName>
    <definedName name="_6">#REF!</definedName>
    <definedName name="aa">aa</definedName>
    <definedName name="as">as</definedName>
    <definedName name="ccc">ccc</definedName>
    <definedName name="cccc">cccc</definedName>
    <definedName name="ccccc">ccccc</definedName>
    <definedName name="ccccccc">ccccccc</definedName>
    <definedName name="exit">[14]sis.xlm!$B$1</definedName>
    <definedName name="__Fei1">[12]总表模板!$G$5</definedName>
    <definedName name="__Fei2">[12]总表模板!$G$8</definedName>
    <definedName name="___Fei3">[12]总表模板!$G$19</definedName>
    <definedName name="gh">gh</definedName>
    <definedName name="ghh">ghh</definedName>
    <definedName name="hh">hh</definedName>
    <definedName name="hj">hj</definedName>
    <definedName name="io">io</definedName>
    <definedName name="jk">jk</definedName>
    <definedName name="jkl">jkl</definedName>
    <definedName name="liu">liu</definedName>
    <definedName name="lui">lui</definedName>
    <definedName name="Macro1">[14]sis.xlm!$V$25</definedName>
    <definedName name="Macro3">[15]sis.xlm!$H$1</definedName>
    <definedName name="mmm">#REF!</definedName>
    <definedName name="pi">[16]sheet1!$G$1</definedName>
    <definedName name="poio">poio</definedName>
    <definedName name="PRINT_AREA_MI">#REF!</definedName>
    <definedName name="q">q</definedName>
    <definedName name="qqq">#REF!</definedName>
    <definedName name="REGRESS_DATA">[17]REGRESS!$O$5:$P$9</definedName>
    <definedName name="s">s</definedName>
    <definedName name="x">x</definedName>
    <definedName name="XLRPARAMS_GCMC" hidden="1">[18]XLR_NoRangeSheet!$B$6</definedName>
    <definedName name="XLRPARAMS_ZYMC" hidden="1">[18]XLR_NoRangeSheet!$C$6</definedName>
    <definedName name="xx">xx</definedName>
    <definedName name="yuo">yuo</definedName>
    <definedName name="z">z</definedName>
    <definedName name="__zd1">'[13]XL4钢筋(中途泵房)'!$E$17</definedName>
    <definedName name="__zd2">'[13]XL4钢筋(中途泵房)'!$E$22</definedName>
    <definedName name="zhang">zhang</definedName>
    <definedName name="__zj1">'[13]XL4钢筋(中途泵房)'!$E$18</definedName>
    <definedName name="__zj2">'[13]XL4钢筋(中途泵房)'!$E$23</definedName>
    <definedName name="zq">[19]总表!$D$44</definedName>
    <definedName name="__zw1">'[13]XL4钢筋(中途泵房)'!$E$30</definedName>
    <definedName name="__zw2">'[13]XL4钢筋(中途泵房)'!$E$32</definedName>
    <definedName name="zx">zx</definedName>
    <definedName name="zz">zz</definedName>
    <definedName name="池">池</definedName>
    <definedName name="池池">池池</definedName>
    <definedName name="池池池">池池池</definedName>
    <definedName name="二">二</definedName>
    <definedName name="二泵设备底稿">二泵设备底稿</definedName>
    <definedName name="起">起</definedName>
    <definedName name="清">清</definedName>
    <definedName name="清水池管配件">清水池管配件</definedName>
    <definedName name="市场价">市场价</definedName>
    <definedName name="试吃">试吃</definedName>
    <definedName name="数据查询">数据查询</definedName>
    <definedName name="数据库管理">数据库管理</definedName>
    <definedName name="新">#REF!</definedName>
    <definedName name="一">一</definedName>
    <definedName name="圆形构筑物">圆形构筑物</definedName>
    <definedName name="___Fei1">[12]总表模板!$G$5</definedName>
    <definedName name="___Fei2">[12]总表模板!$G$8</definedName>
    <definedName name="____Fei3">[12]总表模板!$G$19</definedName>
    <definedName name="___zd1">'[13]XL4钢筋(中途泵房)'!$E$17</definedName>
    <definedName name="___zd2">'[13]XL4钢筋(中途泵房)'!$E$22</definedName>
    <definedName name="___zj1">'[13]XL4钢筋(中途泵房)'!$E$18</definedName>
    <definedName name="___zj2">'[13]XL4钢筋(中途泵房)'!$E$23</definedName>
    <definedName name="___zw1">'[13]XL4钢筋(中途泵房)'!$E$30</definedName>
    <definedName name="___zw2">'[13]XL4钢筋(中途泵房)'!$E$32</definedName>
    <definedName name="_____________Fei1">[20]总表模板!$G$5</definedName>
    <definedName name="____________Fei1">[20]总表模板!$G$5</definedName>
    <definedName name="___________Fei1">[20]总表模板!$G$5</definedName>
  </definedNames>
  <calcPr calcId="144525"/>
</workbook>
</file>

<file path=xl/sharedStrings.xml><?xml version="1.0" encoding="utf-8"?>
<sst xmlns="http://schemas.openxmlformats.org/spreadsheetml/2006/main" count="110" uniqueCount="75">
  <si>
    <t>附件：</t>
  </si>
  <si>
    <t>长汀全民健身中心综合体概算汇总表</t>
  </si>
  <si>
    <t>单位：万元</t>
  </si>
  <si>
    <t>序号</t>
  </si>
  <si>
    <t>工程名称</t>
  </si>
  <si>
    <t>单位</t>
  </si>
  <si>
    <t>技术经济指标</t>
  </si>
  <si>
    <t>备注</t>
  </si>
  <si>
    <t>数量</t>
  </si>
  <si>
    <t>概算单价
（元）</t>
  </si>
  <si>
    <t>概算金额
（万元）</t>
  </si>
  <si>
    <t>一</t>
  </si>
  <si>
    <t>建筑安装工程费用</t>
  </si>
  <si>
    <t>㎡</t>
  </si>
  <si>
    <t>含扬尘防治措施费和施工现场远程视 频监控使用费</t>
  </si>
  <si>
    <t>（一）</t>
  </si>
  <si>
    <t>土建工程</t>
  </si>
  <si>
    <r>
      <rPr>
        <b/>
        <sz val="10"/>
        <rFont val="微软雅黑"/>
        <charset val="0"/>
      </rPr>
      <t>m</t>
    </r>
    <r>
      <rPr>
        <b/>
        <vertAlign val="superscript"/>
        <sz val="10"/>
        <rFont val="微软雅黑"/>
        <charset val="0"/>
      </rPr>
      <t>2</t>
    </r>
  </si>
  <si>
    <t>含精装、绿色建筑等</t>
  </si>
  <si>
    <t>（二）</t>
  </si>
  <si>
    <t>室外工程</t>
  </si>
  <si>
    <t>室外游泳池</t>
  </si>
  <si>
    <t xml:space="preserve">含泳池周边铺装 </t>
  </si>
  <si>
    <t>化粪池、隔油池</t>
  </si>
  <si>
    <t>项</t>
  </si>
  <si>
    <t>绿化工程</t>
  </si>
  <si>
    <t>景观工程</t>
  </si>
  <si>
    <t>含化粪池、隔油池、硬化铺装、车棚、围墙、垃圾亭、屋面花箱等</t>
  </si>
  <si>
    <t>海绵城市工程</t>
  </si>
  <si>
    <t>含安装、土建</t>
  </si>
  <si>
    <t>（三）</t>
  </si>
  <si>
    <t>安装工程</t>
  </si>
  <si>
    <t>室外综合管网</t>
  </si>
  <si>
    <t>含综合管网、三网合一</t>
  </si>
  <si>
    <t>夜景工程</t>
  </si>
  <si>
    <t>（四）</t>
  </si>
  <si>
    <t>场馆其他配套设施</t>
  </si>
  <si>
    <t>游泳池设备</t>
  </si>
  <si>
    <t>智能楼宇管理系统</t>
  </si>
  <si>
    <t>套</t>
  </si>
  <si>
    <t>室内供配电</t>
  </si>
  <si>
    <t>室外供配电</t>
  </si>
  <si>
    <t>正式用电接入按1回路，每回路1km计入</t>
  </si>
  <si>
    <t>柴油发电机组</t>
  </si>
  <si>
    <t>常载功率:291kW(364kVA)</t>
  </si>
  <si>
    <t>空调</t>
  </si>
  <si>
    <t>电梯</t>
  </si>
  <si>
    <t>部</t>
  </si>
  <si>
    <t>消防设备</t>
  </si>
  <si>
    <t>屋面太阳能系统</t>
  </si>
  <si>
    <t>（五）</t>
  </si>
  <si>
    <t>工程设备费（含安装）</t>
  </si>
  <si>
    <t>工程设备费</t>
  </si>
  <si>
    <t>（六）</t>
  </si>
  <si>
    <t>暂列金</t>
  </si>
  <si>
    <t>二</t>
  </si>
  <si>
    <t>工程建设其他费用</t>
  </si>
  <si>
    <t>建设单位管理费</t>
  </si>
  <si>
    <t>工程建设监理费</t>
  </si>
  <si>
    <t>勘察设计费</t>
  </si>
  <si>
    <t>造价咨询费</t>
  </si>
  <si>
    <t>工程款支付担保费</t>
  </si>
  <si>
    <t>招标代理服务费</t>
  </si>
  <si>
    <t>施工图及勘察成果审查费</t>
  </si>
  <si>
    <t>前期工作咨询费</t>
  </si>
  <si>
    <t>水土保持方案编制费</t>
  </si>
  <si>
    <t>工程检验检测费</t>
  </si>
  <si>
    <t>场地准备费及临时设施费用</t>
  </si>
  <si>
    <t>包含人防易地建设费用，人防建筑面积273.16m²</t>
  </si>
  <si>
    <t>三</t>
  </si>
  <si>
    <t>基本预备费</t>
  </si>
  <si>
    <t>按（建安费+其他费用）*4%</t>
  </si>
  <si>
    <t>四</t>
  </si>
  <si>
    <t>工程总投资（不含建设期利息、流动资金）</t>
  </si>
  <si>
    <t>m2</t>
  </si>
</sst>
</file>

<file path=xl/styles.xml><?xml version="1.0" encoding="utf-8"?>
<styleSheet xmlns="http://schemas.openxmlformats.org/spreadsheetml/2006/main">
  <numFmts count="11">
    <numFmt numFmtId="41" formatCode="_ * #,##0_ ;_ * \-#,##0_ ;_ * &quot;-&quot;_ ;_ @_ "/>
    <numFmt numFmtId="42" formatCode="_ &quot;￥&quot;* #,##0_ ;_ &quot;￥&quot;* \-#,##0_ ;_ &quot;￥&quot;* &quot;-&quot;_ ;_ @_ "/>
    <numFmt numFmtId="43" formatCode="_ * #,##0.00_ ;_ * \-#,##0.00_ ;_ * &quot;-&quot;??_ ;_ @_ "/>
    <numFmt numFmtId="176" formatCode="0.000_ "/>
    <numFmt numFmtId="44" formatCode="_ &quot;￥&quot;* #,##0.00_ ;_ &quot;￥&quot;* \-#,##0.00_ ;_ &quot;￥&quot;* &quot;-&quot;??_ ;_ @_ "/>
    <numFmt numFmtId="177" formatCode="0.00_);[Red]\(0.00\)"/>
    <numFmt numFmtId="178" formatCode="_-* #,##0.00_-;\-* #,##0.00_-;_-* &quot;-&quot;??_-;_-@_-"/>
    <numFmt numFmtId="179" formatCode="0.00_ "/>
    <numFmt numFmtId="180" formatCode="0_);[Red]\(0\)"/>
    <numFmt numFmtId="181" formatCode="0.00;[Red]0.00"/>
    <numFmt numFmtId="182" formatCode="0.0%"/>
  </numFmts>
  <fonts count="36">
    <font>
      <sz val="12"/>
      <name val="宋体"/>
      <charset val="134"/>
    </font>
    <font>
      <sz val="10"/>
      <name val="微软雅黑"/>
      <charset val="134"/>
    </font>
    <font>
      <b/>
      <sz val="10"/>
      <name val="微软雅黑"/>
      <charset val="134"/>
    </font>
    <font>
      <sz val="9"/>
      <name val="微软雅黑"/>
      <charset val="134"/>
    </font>
    <font>
      <sz val="11"/>
      <name val="黑体"/>
      <charset val="134"/>
    </font>
    <font>
      <b/>
      <sz val="20"/>
      <color rgb="FF000000"/>
      <name val="仿宋_GB2312"/>
      <charset val="134"/>
    </font>
    <font>
      <b/>
      <sz val="12"/>
      <name val="微软雅黑"/>
      <charset val="134"/>
    </font>
    <font>
      <b/>
      <sz val="10"/>
      <name val="微软雅黑"/>
      <charset val="0"/>
    </font>
    <font>
      <sz val="10"/>
      <name val="微软雅黑"/>
      <charset val="0"/>
    </font>
    <font>
      <sz val="10"/>
      <color rgb="FFFF0000"/>
      <name val="微软雅黑"/>
      <charset val="134"/>
    </font>
    <font>
      <sz val="10"/>
      <color theme="0"/>
      <name val="微软雅黑"/>
      <charset val="0"/>
    </font>
    <font>
      <sz val="10"/>
      <color theme="1"/>
      <name val="微软雅黑"/>
      <charset val="134"/>
    </font>
    <font>
      <sz val="11"/>
      <color theme="1"/>
      <name val="宋体"/>
      <charset val="0"/>
      <scheme val="minor"/>
    </font>
    <font>
      <sz val="11"/>
      <color rgb="FFFF0000"/>
      <name val="宋体"/>
      <charset val="0"/>
      <scheme val="minor"/>
    </font>
    <font>
      <b/>
      <sz val="11"/>
      <color rgb="FFFFFFFF"/>
      <name val="宋体"/>
      <charset val="0"/>
      <scheme val="minor"/>
    </font>
    <font>
      <b/>
      <sz val="13"/>
      <color theme="3"/>
      <name val="宋体"/>
      <charset val="134"/>
      <scheme val="minor"/>
    </font>
    <font>
      <sz val="11"/>
      <color theme="1"/>
      <name val="宋体"/>
      <charset val="134"/>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b/>
      <sz val="11"/>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2"/>
      <name val="Times New Roman"/>
      <charset val="0"/>
    </font>
    <font>
      <i/>
      <sz val="11"/>
      <color rgb="FF7F7F7F"/>
      <name val="宋体"/>
      <charset val="0"/>
      <scheme val="minor"/>
    </font>
    <font>
      <u/>
      <sz val="11"/>
      <color rgb="FF800080"/>
      <name val="宋体"/>
      <charset val="0"/>
      <scheme val="minor"/>
    </font>
    <font>
      <sz val="11"/>
      <color rgb="FF9C0006"/>
      <name val="宋体"/>
      <charset val="0"/>
      <scheme val="minor"/>
    </font>
    <font>
      <sz val="11"/>
      <color rgb="FFFA7D00"/>
      <name val="宋体"/>
      <charset val="0"/>
      <scheme val="minor"/>
    </font>
    <font>
      <sz val="11"/>
      <color indexed="8"/>
      <name val="宋体"/>
      <charset val="134"/>
    </font>
    <font>
      <sz val="12"/>
      <name val="Times New Roman"/>
      <charset val="134"/>
    </font>
    <font>
      <sz val="11"/>
      <color rgb="FF006100"/>
      <name val="宋体"/>
      <charset val="0"/>
      <scheme val="minor"/>
    </font>
    <font>
      <b/>
      <vertAlign val="superscript"/>
      <sz val="10"/>
      <name val="微软雅黑"/>
      <charset val="0"/>
    </font>
  </fonts>
  <fills count="34">
    <fill>
      <patternFill patternType="none"/>
    </fill>
    <fill>
      <patternFill patternType="gray125"/>
    </fill>
    <fill>
      <patternFill patternType="solid">
        <fgColor rgb="FFFFFF00"/>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71">
    <xf numFmtId="0" fontId="0" fillId="0" borderId="0"/>
    <xf numFmtId="42" fontId="16" fillId="0" borderId="0" applyFont="0" applyFill="0" applyBorder="0" applyAlignment="0" applyProtection="0">
      <alignment vertical="center"/>
    </xf>
    <xf numFmtId="0" fontId="0" fillId="0" borderId="0"/>
    <xf numFmtId="0" fontId="12" fillId="16" borderId="0" applyNumberFormat="0" applyBorder="0" applyAlignment="0" applyProtection="0">
      <alignment vertical="center"/>
    </xf>
    <xf numFmtId="0" fontId="25" fillId="14" borderId="8" applyNumberFormat="0" applyAlignment="0" applyProtection="0">
      <alignment vertical="center"/>
    </xf>
    <xf numFmtId="44" fontId="16" fillId="0" borderId="0" applyFont="0" applyFill="0" applyBorder="0" applyAlignment="0" applyProtection="0">
      <alignment vertical="center"/>
    </xf>
    <xf numFmtId="0" fontId="27" fillId="0" borderId="0"/>
    <xf numFmtId="41" fontId="16" fillId="0" borderId="0" applyFont="0" applyFill="0" applyBorder="0" applyAlignment="0" applyProtection="0">
      <alignment vertical="center"/>
    </xf>
    <xf numFmtId="0" fontId="12" fillId="5" borderId="0" applyNumberFormat="0" applyBorder="0" applyAlignment="0" applyProtection="0">
      <alignment vertical="center"/>
    </xf>
    <xf numFmtId="0" fontId="30" fillId="21" borderId="0" applyNumberFormat="0" applyBorder="0" applyAlignment="0" applyProtection="0">
      <alignment vertical="center"/>
    </xf>
    <xf numFmtId="43" fontId="16" fillId="0" borderId="0" applyFont="0" applyFill="0" applyBorder="0" applyAlignment="0" applyProtection="0">
      <alignment vertical="center"/>
    </xf>
    <xf numFmtId="0" fontId="17" fillId="23"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16" fillId="9" borderId="5" applyNumberFormat="0" applyFont="0" applyAlignment="0" applyProtection="0">
      <alignment vertical="center"/>
    </xf>
    <xf numFmtId="0" fontId="17" fillId="13" borderId="0" applyNumberFormat="0" applyBorder="0" applyAlignment="0" applyProtection="0">
      <alignment vertical="center"/>
    </xf>
    <xf numFmtId="0" fontId="2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0" borderId="0"/>
    <xf numFmtId="0" fontId="28" fillId="0" borderId="0" applyNumberFormat="0" applyFill="0" applyBorder="0" applyAlignment="0" applyProtection="0">
      <alignment vertical="center"/>
    </xf>
    <xf numFmtId="0" fontId="19" fillId="0" borderId="3" applyNumberFormat="0" applyFill="0" applyAlignment="0" applyProtection="0">
      <alignment vertical="center"/>
    </xf>
    <xf numFmtId="0" fontId="0" fillId="0" borderId="0"/>
    <xf numFmtId="0" fontId="0" fillId="0" borderId="0"/>
    <xf numFmtId="0" fontId="32" fillId="0" borderId="0">
      <alignment vertical="center"/>
    </xf>
    <xf numFmtId="0" fontId="15" fillId="0" borderId="3" applyNumberFormat="0" applyFill="0" applyAlignment="0" applyProtection="0">
      <alignment vertical="center"/>
    </xf>
    <xf numFmtId="0" fontId="17" fillId="22" borderId="0" applyNumberFormat="0" applyBorder="0" applyAlignment="0" applyProtection="0">
      <alignment vertical="center"/>
    </xf>
    <xf numFmtId="0" fontId="22" fillId="0" borderId="7" applyNumberFormat="0" applyFill="0" applyAlignment="0" applyProtection="0">
      <alignment vertical="center"/>
    </xf>
    <xf numFmtId="0" fontId="17" fillId="29" borderId="0" applyNumberFormat="0" applyBorder="0" applyAlignment="0" applyProtection="0">
      <alignment vertical="center"/>
    </xf>
    <xf numFmtId="0" fontId="18" fillId="8" borderId="4" applyNumberFormat="0" applyAlignment="0" applyProtection="0">
      <alignment vertical="center"/>
    </xf>
    <xf numFmtId="0" fontId="26" fillId="8" borderId="8" applyNumberFormat="0" applyAlignment="0" applyProtection="0">
      <alignment vertical="center"/>
    </xf>
    <xf numFmtId="0" fontId="14" fillId="4" borderId="2" applyNumberFormat="0" applyAlignment="0" applyProtection="0">
      <alignment vertical="center"/>
    </xf>
    <xf numFmtId="0" fontId="12" fillId="26" borderId="0" applyNumberFormat="0" applyBorder="0" applyAlignment="0" applyProtection="0">
      <alignment vertical="center"/>
    </xf>
    <xf numFmtId="0" fontId="17" fillId="11" borderId="0" applyNumberFormat="0" applyBorder="0" applyAlignment="0" applyProtection="0">
      <alignment vertical="center"/>
    </xf>
    <xf numFmtId="0" fontId="31" fillId="0" borderId="9" applyNumberFormat="0" applyFill="0" applyAlignment="0" applyProtection="0">
      <alignment vertical="center"/>
    </xf>
    <xf numFmtId="0" fontId="20" fillId="0" borderId="6" applyNumberFormat="0" applyFill="0" applyAlignment="0" applyProtection="0">
      <alignment vertical="center"/>
    </xf>
    <xf numFmtId="0" fontId="34" fillId="32" borderId="0" applyNumberFormat="0" applyBorder="0" applyAlignment="0" applyProtection="0">
      <alignment vertical="center"/>
    </xf>
    <xf numFmtId="0" fontId="24" fillId="12" borderId="0" applyNumberFormat="0" applyBorder="0" applyAlignment="0" applyProtection="0">
      <alignment vertical="center"/>
    </xf>
    <xf numFmtId="0" fontId="0" fillId="0" borderId="0">
      <alignment vertical="center"/>
    </xf>
    <xf numFmtId="0" fontId="12" fillId="17" borderId="0" applyNumberFormat="0" applyBorder="0" applyAlignment="0" applyProtection="0">
      <alignment vertical="center"/>
    </xf>
    <xf numFmtId="0" fontId="17" fillId="7" borderId="0" applyNumberFormat="0" applyBorder="0" applyAlignment="0" applyProtection="0">
      <alignment vertical="center"/>
    </xf>
    <xf numFmtId="0" fontId="33" fillId="0" borderId="0"/>
    <xf numFmtId="0" fontId="12" fillId="15" borderId="0" applyNumberFormat="0" applyBorder="0" applyAlignment="0" applyProtection="0">
      <alignment vertical="center"/>
    </xf>
    <xf numFmtId="0" fontId="12" fillId="3" borderId="0" applyNumberFormat="0" applyBorder="0" applyAlignment="0" applyProtection="0">
      <alignment vertical="center"/>
    </xf>
    <xf numFmtId="0" fontId="12" fillId="31" borderId="0" applyNumberFormat="0" applyBorder="0" applyAlignment="0" applyProtection="0">
      <alignment vertical="center"/>
    </xf>
    <xf numFmtId="0" fontId="12" fillId="20" borderId="0" applyNumberFormat="0" applyBorder="0" applyAlignment="0" applyProtection="0">
      <alignment vertical="center"/>
    </xf>
    <xf numFmtId="0" fontId="17" fillId="6" borderId="0" applyNumberFormat="0" applyBorder="0" applyAlignment="0" applyProtection="0">
      <alignment vertical="center"/>
    </xf>
    <xf numFmtId="0" fontId="17" fillId="10" borderId="0" applyNumberFormat="0" applyBorder="0" applyAlignment="0" applyProtection="0">
      <alignment vertical="center"/>
    </xf>
    <xf numFmtId="0" fontId="12" fillId="30" borderId="0" applyNumberFormat="0" applyBorder="0" applyAlignment="0" applyProtection="0">
      <alignment vertical="center"/>
    </xf>
    <xf numFmtId="0" fontId="0" fillId="0" borderId="0">
      <alignment vertical="center"/>
    </xf>
    <xf numFmtId="0" fontId="12" fillId="19" borderId="0" applyNumberFormat="0" applyBorder="0" applyAlignment="0" applyProtection="0">
      <alignment vertical="center"/>
    </xf>
    <xf numFmtId="0" fontId="17" fillId="18" borderId="0" applyNumberFormat="0" applyBorder="0" applyAlignment="0" applyProtection="0">
      <alignment vertical="center"/>
    </xf>
    <xf numFmtId="0" fontId="12" fillId="24" borderId="0" applyNumberFormat="0" applyBorder="0" applyAlignment="0" applyProtection="0">
      <alignment vertical="center"/>
    </xf>
    <xf numFmtId="0" fontId="17" fillId="27" borderId="0" applyNumberFormat="0" applyBorder="0" applyAlignment="0" applyProtection="0">
      <alignment vertical="center"/>
    </xf>
    <xf numFmtId="0" fontId="17" fillId="25" borderId="0" applyNumberFormat="0" applyBorder="0" applyAlignment="0" applyProtection="0">
      <alignment vertical="center"/>
    </xf>
    <xf numFmtId="0" fontId="0" fillId="0" borderId="0"/>
    <xf numFmtId="0" fontId="12" fillId="33" borderId="0" applyNumberFormat="0" applyBorder="0" applyAlignment="0" applyProtection="0">
      <alignment vertical="center"/>
    </xf>
    <xf numFmtId="0" fontId="17" fillId="28" borderId="0" applyNumberFormat="0" applyBorder="0" applyAlignment="0" applyProtection="0">
      <alignment vertical="center"/>
    </xf>
    <xf numFmtId="0" fontId="27" fillId="0" borderId="0"/>
    <xf numFmtId="0" fontId="0" fillId="0" borderId="0"/>
    <xf numFmtId="0" fontId="0" fillId="0" borderId="0">
      <alignment vertical="center"/>
    </xf>
    <xf numFmtId="0" fontId="0" fillId="0" borderId="0">
      <alignment vertical="center"/>
    </xf>
    <xf numFmtId="0" fontId="27" fillId="0" borderId="0"/>
    <xf numFmtId="0" fontId="0" fillId="0" borderId="0"/>
    <xf numFmtId="178" fontId="0" fillId="0" borderId="0" applyFont="0" applyFill="0" applyBorder="0" applyAlignment="0" applyProtection="0">
      <alignment vertical="center"/>
    </xf>
    <xf numFmtId="0" fontId="27" fillId="0" borderId="0"/>
    <xf numFmtId="0" fontId="0" fillId="0" borderId="0"/>
    <xf numFmtId="0" fontId="16" fillId="0" borderId="0"/>
    <xf numFmtId="9" fontId="16" fillId="0" borderId="0" applyFont="0" applyFill="0" applyBorder="0" applyAlignment="0" applyProtection="0">
      <alignment vertical="center"/>
    </xf>
    <xf numFmtId="0" fontId="0" fillId="0" borderId="0">
      <alignment vertical="center"/>
    </xf>
  </cellStyleXfs>
  <cellXfs count="52">
    <xf numFmtId="0" fontId="0" fillId="0" borderId="0" xfId="0" applyAlignment="1">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2"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177" fontId="3" fillId="0" borderId="0" xfId="0" applyNumberFormat="1"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Alignment="1">
      <alignment horizontal="center"/>
    </xf>
    <xf numFmtId="0" fontId="6" fillId="0" borderId="0" xfId="0" applyFont="1" applyFill="1" applyAlignment="1">
      <alignment horizontal="center" vertical="center" wrapText="1"/>
    </xf>
    <xf numFmtId="0" fontId="3" fillId="0" borderId="0" xfId="0" applyFont="1" applyFill="1" applyAlignment="1">
      <alignment horizontal="right"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179" fontId="2"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left" vertical="center" wrapText="1"/>
    </xf>
    <xf numFmtId="10" fontId="1" fillId="0" borderId="0" xfId="0" applyNumberFormat="1" applyFont="1" applyFill="1" applyAlignment="1">
      <alignment horizontal="center" vertical="center" wrapText="1"/>
    </xf>
    <xf numFmtId="0" fontId="2" fillId="0" borderId="1" xfId="0" applyNumberFormat="1" applyFont="1" applyFill="1" applyBorder="1" applyAlignment="1">
      <alignment horizontal="center" vertical="center"/>
    </xf>
    <xf numFmtId="0" fontId="1" fillId="0" borderId="1" xfId="0" applyNumberFormat="1" applyFont="1" applyFill="1" applyBorder="1" applyAlignment="1" applyProtection="1">
      <alignment horizontal="center" vertical="center" wrapText="1"/>
    </xf>
    <xf numFmtId="0" fontId="1"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179" fontId="1" fillId="0" borderId="1" xfId="0" applyNumberFormat="1" applyFont="1" applyFill="1" applyBorder="1" applyAlignment="1">
      <alignment horizontal="center" vertical="center" wrapText="1"/>
    </xf>
    <xf numFmtId="179" fontId="9" fillId="0" borderId="1" xfId="61" applyNumberFormat="1" applyFont="1" applyFill="1" applyBorder="1" applyAlignment="1">
      <alignment horizontal="center" vertical="center" wrapText="1"/>
    </xf>
    <xf numFmtId="10" fontId="8" fillId="0" borderId="1" xfId="0" applyNumberFormat="1" applyFont="1" applyFill="1" applyBorder="1" applyAlignment="1">
      <alignment horizontal="left" vertical="center" wrapText="1"/>
    </xf>
    <xf numFmtId="10" fontId="8" fillId="0" borderId="0" xfId="0" applyNumberFormat="1" applyFont="1" applyFill="1" applyAlignment="1">
      <alignment horizontal="center" vertical="center" wrapText="1"/>
    </xf>
    <xf numFmtId="179" fontId="8" fillId="0" borderId="1" xfId="0" applyNumberFormat="1" applyFont="1" applyFill="1" applyBorder="1" applyAlignment="1">
      <alignment horizontal="center" vertical="center" wrapText="1"/>
    </xf>
    <xf numFmtId="180" fontId="8" fillId="0" borderId="1" xfId="0" applyNumberFormat="1" applyFont="1" applyFill="1" applyBorder="1" applyAlignment="1">
      <alignment horizontal="center" vertical="center" wrapText="1"/>
    </xf>
    <xf numFmtId="181" fontId="1" fillId="0" borderId="1" xfId="0" applyNumberFormat="1" applyFont="1" applyFill="1" applyBorder="1" applyAlignment="1">
      <alignment horizontal="left" vertical="center" wrapText="1" shrinkToFit="1"/>
    </xf>
    <xf numFmtId="0" fontId="1" fillId="0" borderId="1" xfId="0" applyFont="1" applyFill="1" applyBorder="1" applyAlignment="1">
      <alignment horizontal="center" vertical="center" wrapText="1"/>
    </xf>
    <xf numFmtId="179" fontId="9"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0" xfId="0" applyFont="1" applyFill="1" applyAlignment="1">
      <alignment horizontal="center" vertical="center" wrapText="1"/>
    </xf>
    <xf numFmtId="0" fontId="10" fillId="0" borderId="1" xfId="0" applyFont="1" applyFill="1" applyBorder="1" applyAlignment="1">
      <alignment horizontal="left" vertical="center" wrapText="1"/>
    </xf>
    <xf numFmtId="0" fontId="8" fillId="2" borderId="0" xfId="0" applyFont="1" applyFill="1" applyAlignment="1">
      <alignment horizontal="center" vertical="center" wrapText="1"/>
    </xf>
    <xf numFmtId="179" fontId="11"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0" xfId="0" applyFont="1" applyFill="1" applyAlignment="1">
      <alignment horizontal="center" vertical="center" wrapText="1"/>
    </xf>
    <xf numFmtId="180" fontId="2" fillId="0" borderId="1" xfId="0" applyNumberFormat="1" applyFont="1" applyFill="1" applyBorder="1" applyAlignment="1">
      <alignment horizontal="center" vertical="center" wrapText="1"/>
    </xf>
    <xf numFmtId="180"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176" fontId="1" fillId="0" borderId="0" xfId="0" applyNumberFormat="1" applyFont="1" applyFill="1" applyAlignment="1">
      <alignment horizontal="center" vertical="center" wrapText="1"/>
    </xf>
    <xf numFmtId="0" fontId="1" fillId="0" borderId="1" xfId="2" applyFont="1" applyFill="1" applyBorder="1" applyAlignment="1">
      <alignment horizontal="left" vertical="center" wrapText="1"/>
    </xf>
    <xf numFmtId="0" fontId="1" fillId="0" borderId="0" xfId="2" applyFont="1" applyFill="1" applyAlignment="1">
      <alignment horizontal="center" vertical="center" wrapText="1"/>
    </xf>
    <xf numFmtId="181" fontId="1" fillId="0" borderId="1" xfId="0" applyNumberFormat="1" applyFont="1" applyFill="1" applyBorder="1" applyAlignment="1">
      <alignment horizontal="left" vertical="center" wrapText="1"/>
    </xf>
    <xf numFmtId="181" fontId="1" fillId="0" borderId="0" xfId="0" applyNumberFormat="1" applyFont="1" applyFill="1" applyAlignment="1">
      <alignment horizontal="center" vertical="center" wrapText="1"/>
    </xf>
    <xf numFmtId="179" fontId="1" fillId="0" borderId="1" xfId="61" applyNumberFormat="1" applyFont="1" applyFill="1" applyBorder="1" applyAlignment="1">
      <alignment horizontal="center" vertical="center" wrapText="1"/>
    </xf>
    <xf numFmtId="182" fontId="2" fillId="0" borderId="0" xfId="13" applyNumberFormat="1" applyFont="1" applyFill="1" applyAlignment="1">
      <alignment horizontal="center" vertical="center" wrapText="1"/>
    </xf>
    <xf numFmtId="179" fontId="2" fillId="0" borderId="0" xfId="0" applyNumberFormat="1" applyFont="1" applyFill="1" applyAlignment="1">
      <alignment horizontal="center" vertical="center" wrapText="1"/>
    </xf>
  </cellXfs>
  <cellStyles count="71">
    <cellStyle name="常规" xfId="0" builtinId="0"/>
    <cellStyle name="货币[0]" xfId="1" builtinId="7"/>
    <cellStyle name="常规_副本疏港路（海沧大桥~寨上三路）改造工程初设概算及计算稿" xfId="2"/>
    <cellStyle name="20% - 强调文字颜色 3" xfId="3" builtinId="38"/>
    <cellStyle name="输入" xfId="4" builtinId="20"/>
    <cellStyle name="货币" xfId="5" builtinId="4"/>
    <cellStyle name="常规_小嶝小学工程概算审核汇总表~正式稿0724" xfId="6"/>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常规_2007监理费费计算方法" xfId="20"/>
    <cellStyle name="解释性文本" xfId="21" builtinId="53"/>
    <cellStyle name="标题 1" xfId="22" builtinId="16"/>
    <cellStyle name="常规_工分计算方法_审核表-模板" xfId="23"/>
    <cellStyle name="常规_县后开发投资估算表" xfId="24"/>
    <cellStyle name="常规_公共维修基金" xfId="25"/>
    <cellStyle name="标题 2" xfId="26" builtinId="17"/>
    <cellStyle name="60% - 强调文字颜色 1" xfId="27" builtinId="32"/>
    <cellStyle name="标题 3" xfId="28" builtinId="18"/>
    <cellStyle name="60% - 强调文字颜色 4" xfId="29" builtinId="44"/>
    <cellStyle name="输出" xfId="30" builtinId="21"/>
    <cellStyle name="计算" xfId="31" builtinId="22"/>
    <cellStyle name="检查单元格" xfId="32" builtinId="23"/>
    <cellStyle name="20% - 强调文字颜色 6" xfId="33" builtinId="50"/>
    <cellStyle name="强调文字颜色 2" xfId="34" builtinId="33"/>
    <cellStyle name="链接单元格" xfId="35" builtinId="24"/>
    <cellStyle name="汇总" xfId="36" builtinId="25"/>
    <cellStyle name="好" xfId="37" builtinId="26"/>
    <cellStyle name="适中" xfId="38" builtinId="28"/>
    <cellStyle name="常规_翔安中高端品牌汽车销售服务园区市政配套道路工程概算审核汇总表" xfId="39"/>
    <cellStyle name="20% - 强调文字颜色 5" xfId="40" builtinId="46"/>
    <cellStyle name="强调文字颜色 1" xfId="41" builtinId="29"/>
    <cellStyle name="常规_总表" xfId="42"/>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常规_方案四估算审核" xfId="50"/>
    <cellStyle name="40% - 强调文字颜色 4" xfId="51" builtinId="43"/>
    <cellStyle name="强调文字颜色 5" xfId="52" builtinId="45"/>
    <cellStyle name="40% - 强调文字颜色 5" xfId="53" builtinId="47"/>
    <cellStyle name="60% - 强调文字颜色 5" xfId="54" builtinId="48"/>
    <cellStyle name="强调文字颜色 6" xfId="55" builtinId="49"/>
    <cellStyle name="常规_工分计算方法_南山路截污概算审核汇总表" xfId="56"/>
    <cellStyle name="40% - 强调文字颜色 6" xfId="57" builtinId="51"/>
    <cellStyle name="60% - 强调文字颜色 6" xfId="58" builtinId="52"/>
    <cellStyle name="常规_二类费用S" xfId="59"/>
    <cellStyle name="常规 2" xfId="60"/>
    <cellStyle name="常规_Sheet1" xfId="61"/>
    <cellStyle name="常规_城市大学体育馆艺术馆投资估算" xfId="62"/>
    <cellStyle name="常规_（初稿）翔安新南幼区园项目投资估算审核汇总表12" xfId="63"/>
    <cellStyle name="常规_工分计算方法" xfId="64"/>
    <cellStyle name="千位分隔_建设期利息计算表" xfId="65"/>
    <cellStyle name="_ET_STYLE_NoName_00_" xfId="66"/>
    <cellStyle name="常规_二类费用(2012)" xfId="67"/>
    <cellStyle name="常规 3" xfId="68"/>
    <cellStyle name="百分比 2" xfId="69"/>
    <cellStyle name="常规_翔安中高端品牌汽车销售服务园区市政配套道路工程概算审核汇总表_审核表-模板" xfId="70"/>
  </cellStyles>
  <tableStyles count="0" defaultTableStyle="TableStyleMedium9"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7.xml"/><Relationship Id="rId8" Type="http://schemas.openxmlformats.org/officeDocument/2006/relationships/externalLink" Target="externalLinks/externalLink6.xml"/><Relationship Id="rId7" Type="http://schemas.openxmlformats.org/officeDocument/2006/relationships/externalLink" Target="externalLinks/externalLink5.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5" Type="http://schemas.openxmlformats.org/officeDocument/2006/relationships/sharedStrings" Target="sharedStrings.xml"/><Relationship Id="rId24" Type="http://schemas.openxmlformats.org/officeDocument/2006/relationships/styles" Target="styles.xml"/><Relationship Id="rId23" Type="http://schemas.openxmlformats.org/officeDocument/2006/relationships/theme" Target="theme/theme1.xml"/><Relationship Id="rId22" Type="http://schemas.openxmlformats.org/officeDocument/2006/relationships/externalLink" Target="externalLinks/externalLink20.xml"/><Relationship Id="rId21" Type="http://schemas.openxmlformats.org/officeDocument/2006/relationships/externalLink" Target="externalLinks/externalLink19.xml"/><Relationship Id="rId20" Type="http://schemas.openxmlformats.org/officeDocument/2006/relationships/externalLink" Target="externalLinks/externalLink18.xml"/><Relationship Id="rId2" Type="http://schemas.openxmlformats.org/officeDocument/2006/relationships/worksheet" Target="worksheets/sheet2.xml"/><Relationship Id="rId19" Type="http://schemas.openxmlformats.org/officeDocument/2006/relationships/externalLink" Target="externalLinks/externalLink17.xml"/><Relationship Id="rId18" Type="http://schemas.openxmlformats.org/officeDocument/2006/relationships/externalLink" Target="externalLinks/externalLink16.xml"/><Relationship Id="rId17" Type="http://schemas.openxmlformats.org/officeDocument/2006/relationships/externalLink" Target="externalLinks/externalLink15.xml"/><Relationship Id="rId16" Type="http://schemas.openxmlformats.org/officeDocument/2006/relationships/externalLink" Target="externalLinks/externalLink14.xml"/><Relationship Id="rId15" Type="http://schemas.openxmlformats.org/officeDocument/2006/relationships/externalLink" Target="externalLinks/externalLink13.xml"/><Relationship Id="rId14" Type="http://schemas.openxmlformats.org/officeDocument/2006/relationships/externalLink" Target="externalLinks/externalLink12.xml"/><Relationship Id="rId13" Type="http://schemas.openxmlformats.org/officeDocument/2006/relationships/externalLink" Target="externalLinks/externalLink11.xml"/><Relationship Id="rId12" Type="http://schemas.openxmlformats.org/officeDocument/2006/relationships/externalLink" Target="externalLinks/externalLink10.xml"/><Relationship Id="rId11" Type="http://schemas.openxmlformats.org/officeDocument/2006/relationships/externalLink" Target="externalLinks/externalLink9.xml"/><Relationship Id="rId10" Type="http://schemas.openxmlformats.org/officeDocument/2006/relationships/externalLink" Target="externalLinks/externalLink8.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4037;&#20316;&#36164;&#26009;\2&#20844;&#21496;&#39033;&#30446;2023\&#27010;&#31639;-&#26032;&#21405;&#23433;&#32622;&#25151;&#19968;&#26399;\&#23433;&#32622;&#25151;&#21442;&#32771;&#27010;&#31639;\1&#12289;&#39640;&#26519;&#23433;&#32622;&#25151;&#19968;&#26399;&#24037;&#31243;\My%20Documents\Other\CoverDem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4037;&#20316;&#36164;&#26009;\2&#20844;&#21496;&#39033;&#30446;2023\&#27010;&#31639;-&#26032;&#21405;&#23433;&#32622;&#25151;&#19968;&#26399;\&#23433;&#32622;&#25151;&#21442;&#32771;&#27010;&#31639;\1&#12289;&#39640;&#26519;&#23433;&#32622;&#25151;&#19968;&#26399;&#24037;&#31243;\&#39044;&#31639;\&#27896;&#24030;&#21271;&#37066;\&#20869;&#27743;&#27745;&#27700;&#26045;&#24037;&#22270;(&#2084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4037;&#20316;&#36164;&#26009;\2&#20844;&#21496;&#39033;&#30446;2023\&#27010;&#31639;-&#26032;&#21405;&#23433;&#32622;&#25151;&#19968;&#26399;\&#23433;&#32622;&#25151;&#21442;&#32771;&#27010;&#31639;\1&#12289;&#39640;&#26519;&#23433;&#32622;&#25151;&#19968;&#26399;&#24037;&#31243;\pyh\&#29790;&#23433;&#27745;&#27700;&#22788;&#29702;&#21378;\&#20869;&#27743;&#27745;&#27700;&#22788;&#29702;&#21378;\&#20869;&#27743;&#27745;&#27700;&#21378;&#25237;&#26631;\&#20160;&#37025;\&#20160;&#37025;&#27745;&#27700;(00.4&#2637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WANG\&#29325;&#20026;&#27745;&#27700;&#22788;&#29702;\&#20160;&#37025;\&#20160;&#37025;&#27745;&#27700;(00.4&#2637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4037;&#20316;&#36164;&#26009;\2&#20844;&#21496;&#39033;&#30446;2023\&#27010;&#31639;-&#26032;&#21405;&#23433;&#32622;&#25151;&#19968;&#26399;\&#23433;&#32622;&#25151;&#21442;&#32771;&#27010;&#31639;\1&#12289;&#39640;&#26519;&#23433;&#32622;&#25151;&#19968;&#26399;&#24037;&#31243;\&#24037;&#20316;&#25991;&#20214;&#22841;\2004&#24037;&#20316;&#25991;&#20214;\&#28201;&#24030;&#32473;&#27700;&#25237;&#26631;\&#28201;&#24030;&#32473;&#277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4037;&#20316;&#36164;&#26009;\2&#20844;&#21496;&#39033;&#30446;2023\&#27010;&#31639;-&#26032;&#21405;&#23433;&#32622;&#25151;&#19968;&#26399;\&#23433;&#32622;&#25151;&#21442;&#32771;&#27010;&#31639;\1&#12289;&#39640;&#26519;&#23433;&#32622;&#25151;&#19968;&#26399;&#24037;&#31243;\&#23436;&#20840;&#20849;&#20139;\&#24320;&#27743;&#21439;&#27745;&#27700;&#21021;&#35774;\&#24037;&#20316;&#25991;&#20214;&#22841;\&#19968;&#25152;&#30005;&#33041;&#36716;&#26469;\&#38406;&#20013;&#27745;&#27700;\&#24052;&#21335;&#25237;&#26631;\&#20160;&#37025;\&#20160;&#37025;&#27745;&#27700;(00.4&#2637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4037;&#20316;&#36164;&#26009;\2&#20844;&#21496;&#39033;&#30446;2023\&#27010;&#31639;-&#26032;&#21405;&#23433;&#32622;&#25151;&#19968;&#26399;\&#23433;&#32622;&#25151;&#21442;&#32771;&#27010;&#31639;\1&#12289;&#39640;&#26519;&#23433;&#32622;&#25151;&#19968;&#26399;&#24037;&#31243;\2002&#24180;&#20854;&#20182;\&#20016;&#37117;&#27745;&#27700;&#21487;&#30740;&#22797;&#23457;&#35843;&#25972;02.11-29\lgn\&#20272;&#31639;&#20998;&#26512;&#25913;4.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uo\c\My%20Documents\&#27745;&#2770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24037;&#20316;&#36164;&#26009;\2&#20844;&#21496;&#39033;&#30446;2023\&#27010;&#31639;-&#26032;&#21405;&#23433;&#32622;&#25151;&#19968;&#26399;\&#23433;&#32622;&#25151;&#21442;&#32771;&#27010;&#31639;\1&#12289;&#39640;&#26519;&#23433;&#32622;&#25151;&#19968;&#26399;&#24037;&#31243;\&#20160;&#37025;\&#20160;&#37025;&#27745;&#27700;(00.4&#2637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24037;&#20316;&#36164;&#26009;\2&#20844;&#21496;&#39033;&#30446;2023\&#27010;&#31639;-&#26032;&#21405;&#23433;&#32622;&#25151;&#19968;&#26399;\&#23433;&#32622;&#25151;&#21442;&#32771;&#27010;&#31639;\1&#12289;&#39640;&#26519;&#23433;&#32622;&#25151;&#19968;&#26399;&#24037;&#31243;\pyh\&#23453;&#40481;&#32473;&#27700;&#24037;&#31243;&#21021;&#37096;&#35774;&#35745;\&#23453;&#40481;&#24635;&#34920;\2003.9&#23453;&#40481;9km&#20911;&#21152;&#23665;&#27700;&#21378;&#25193;&#24314;b6\&#20869;&#27743;&#27745;&#27700;&#22788;&#29702;&#21378;\&#20869;&#27743;&#27745;&#27700;&#21378;&#25237;&#26631;\&#20160;&#37025;\&#20160;&#37025;&#27745;&#27700;(00.4&#2637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24037;&#20316;&#36164;&#26009;\2&#20844;&#21496;&#39033;&#30446;2023\&#27010;&#31639;-&#26032;&#21405;&#23433;&#32622;&#25151;&#19968;&#26399;\&#23433;&#32622;&#25151;&#21442;&#32771;&#27010;&#31639;\1&#12289;&#39640;&#26519;&#23433;&#32622;&#25151;&#19968;&#26399;&#24037;&#31243;\2002&#24180;&#20854;&#20182;\&#20016;&#37117;&#27745;&#27700;&#21487;&#30740;&#22797;&#23457;&#35843;&#25972;02.11-29\CASS&#24037;&#33402;&#19997;&#32504;&#21378;&#22336;&#65292;&#25512;&#33616;%20(&#36817;&#26399;2002-11&#26376;&#3584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My%20Documents\Other\CoverDemo.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39044;&#31639;\&#27896;&#24030;&#21271;&#37066;\&#20869;&#27743;&#27745;&#27700;&#26045;&#24037;&#22270;(&#2084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36827;&#34892;&#24037;&#31243;\&#32769;&#28207;863\20040508\WINDOWS\TEMP\SUPPLY-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hen_z.gp4\user\TOOLS\ANALY\SEWAGE\ANALY.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24037;&#20316;&#36164;&#26009;\2&#20844;&#21496;&#39033;&#30446;2023\&#27010;&#31639;-&#26032;&#21405;&#23433;&#32622;&#25151;&#19968;&#26399;\&#23433;&#32622;&#25151;&#21442;&#32771;&#27010;&#31639;\5&#12289;&#20177;&#21518;&#33457;&#22253;&#23433;&#32622;&#25151;\&#26032;&#22313;&#27745;&#27700;&#22788;&#29702;\My%20Documents\&#31119;&#24030;&#21335;&#21488;&#23707;\&#39044;&#21487;\&#21326;&#38738;&#36335;&#39030;&#31649;&#20117;.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24037;&#20316;&#30446;&#24405;\2016\&#19996;&#29814;&#23398;&#26657;\&#25552;&#20379;&#36164;&#26009;\&#35774;&#35745;&#25351;&#23548;\ANALYSIS\REGRESS.XLA"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24037;&#20316;&#36164;&#26009;\2&#20844;&#21496;&#39033;&#30446;2023\&#27010;&#31639;-&#26032;&#21405;&#23433;&#32622;&#25151;&#19968;&#26399;\&#23433;&#32622;&#25151;&#21442;&#32771;&#27010;&#31639;\5&#12289;&#20177;&#21518;&#33457;&#22253;&#23433;&#32622;&#25151;\&#26032;&#22313;&#27745;&#27700;&#22788;&#29702;\user2006year\&#26477;&#24030;&#22235;&#22561;&#27745;&#27700;&#21453;&#21521;&#36755;&#36865;&#24037;&#31243;0603\&#36755;&#36865;&#27893;&#25151;&#22303;&#24314;.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24037;&#20316;&#36164;&#26009;\2&#20844;&#21496;&#39033;&#30446;2023\&#27010;&#31639;-&#26032;&#21405;&#23433;&#32622;&#25151;&#19968;&#26399;\&#23433;&#32622;&#25151;&#21442;&#32771;&#27010;&#31639;\5&#12289;&#20177;&#21518;&#33457;&#22253;&#23433;&#32622;&#25151;\&#26032;&#22313;&#27745;&#27700;&#22788;&#29702;\yh\work\2008\&#37325;&#24198;&#27745;&#27700;&#24037;&#21487;\&#31119;&#27704;&#36130;&#21153;&#35780;&#20215;.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72.31.116.200\My%20Documents\Other\CoverDemo.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封面模板"/>
      <sheetName val="格式"/>
      <sheetName val="总表模板"/>
      <sheetName val="总封模板"/>
      <sheetName val="子项列表"/>
      <sheetName val="CoverDemo"/>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2)"/>
      <sheetName val="Sheet1 (14)"/>
      <sheetName val="Sheet1 (12)"/>
      <sheetName val="Sheet1 (11)"/>
      <sheetName val="Sheet1 (10)"/>
      <sheetName val="Sheet1 (9)"/>
      <sheetName val="Sheet1 (8)"/>
      <sheetName val="Sheet1 (7)"/>
      <sheetName val="Sheet1 (6)"/>
      <sheetName val="Sheet1 (3)"/>
      <sheetName val="Sheet1 (4)"/>
      <sheetName val="Sheet1 (5)"/>
      <sheetName val="建设期利息"/>
      <sheetName val="目录"/>
      <sheetName val="污水厂总表"/>
      <sheetName val="中途提升泵站"/>
      <sheetName val="综合概算表 "/>
      <sheetName val="泵站总表"/>
      <sheetName val="圆钢单位重量(不打印)"/>
      <sheetName val="钢筋(中途泵站)"/>
      <sheetName val="预埋铁件(中途泵站)"/>
      <sheetName val="XL3钢筋(中途泵房)"/>
      <sheetName val="XL4钢筋(中途泵房)"/>
      <sheetName val="XL1、2钢筋(中途泵房)"/>
      <sheetName val="XL5钢筋(中途泵房)"/>
      <sheetName val="LL1钢筋(中途泵房)"/>
      <sheetName val="KZ1钢筋(中途泵房)"/>
      <sheetName val="GZ钢筋(中途泵房)"/>
      <sheetName val="WL1钢筋(中途泵房)"/>
      <sheetName val="WKL1钢筋(中途泵房)"/>
      <sheetName val="WKL2-1钢筋(中途泵房)"/>
      <sheetName val="WKL2-2钢筋(中途泵房)"/>
      <sheetName val="LL-1钢筋(中途泵房)"/>
      <sheetName val="工程量计算(出水井)"/>
      <sheetName val="钢筋(出水井)"/>
      <sheetName val="工程量计算(进水井)"/>
      <sheetName val="钢筋(进水井)"/>
      <sheetName val="工程量计算(冲洗水池、储泥池)"/>
      <sheetName val="钢筋(冲洗水池、储泥池)"/>
      <sheetName val="工程量计算(回用水池)"/>
      <sheetName val="钢筋(回用水池)"/>
      <sheetName val="工程量计算(粗格栅井泵房)"/>
      <sheetName val="钢筋(粗格栅井泵房)"/>
      <sheetName val="预埋铁件(粗格栅井泵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总封"/>
      <sheetName val="泵房"/>
      <sheetName val="沉砂"/>
      <sheetName val="氧沟"/>
      <sheetName val="脱水"/>
      <sheetName val="数据"/>
      <sheetName val="计算"/>
      <sheetName val="概算总表"/>
      <sheetName val="利息"/>
      <sheetName val="概算总表 (2)"/>
      <sheetName val="利息 (2)"/>
      <sheetName val="概算总表 (3)"/>
      <sheetName val="利息 (3)"/>
      <sheetName val="概算总表 (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总封"/>
      <sheetName val="泵房"/>
      <sheetName val="沉砂"/>
      <sheetName val="氧沟"/>
      <sheetName val="脱水"/>
      <sheetName val="数据"/>
      <sheetName val="计算"/>
      <sheetName val="概算总表"/>
      <sheetName val="利息"/>
      <sheetName val="概算总表 (2)"/>
      <sheetName val="利息 (2)"/>
      <sheetName val="概算总表 (3)"/>
      <sheetName val="利息 (3)"/>
      <sheetName val="概算总表 (4)"/>
      <sheetName val="做法表"/>
      <sheetName val="XL4钢筋(中途泵房)"/>
      <sheetName val="XL3钢筋(中途泵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管材综合单价(真实价)"/>
      <sheetName val="多方案管径比较(真实价)"/>
      <sheetName val="管网总表"/>
      <sheetName val="管材综合单价(投标价)"/>
      <sheetName val="多方案管径比较(投标价)"/>
      <sheetName val="汇总表"/>
      <sheetName val="管网总表(投标价)"/>
      <sheetName val="水厂总表(经济分析)"/>
      <sheetName val="基本参数(管)"/>
      <sheetName val="成本计算(管)"/>
      <sheetName val="Sheet1"/>
      <sheetName val="基本参数(厂)"/>
      <sheetName val="成本计算(厂)"/>
      <sheetName val="利息(经济分析)"/>
      <sheetName val="污泥脱水间"/>
      <sheetName val="加氯间"/>
      <sheetName val="加药间"/>
      <sheetName val="泵站改造"/>
      <sheetName val="综合楼"/>
      <sheetName val="值班宿舍"/>
      <sheetName val="食堂"/>
      <sheetName val="机修、仓库"/>
      <sheetName val="车库"/>
      <sheetName val="大门门卫"/>
      <sheetName val="10KV配电室"/>
      <sheetName val="自动化"/>
      <sheetName val="仪表"/>
      <sheetName val="厂平面布置"/>
      <sheetName val="基本数据表"/>
      <sheetName val="生产成本--基本数据"/>
      <sheetName val="总成本费用表"/>
      <sheetName val="损益表"/>
      <sheetName val="资金来源及运用表"/>
      <sheetName val="现金流量表(全部投资)"/>
      <sheetName val="还贷能力预测表(全部投资)"/>
      <sheetName val="还贷能力预测表(贷款部分)"/>
      <sheetName val="年经营费及成本敏感性"/>
      <sheetName val="财务指标汇总"/>
      <sheetName val="IRR敏感性分析表"/>
      <sheetName val="PRN资金1"/>
      <sheetName val="PRN资金2"/>
      <sheetName val="PRN资金3"/>
      <sheetName val="PRN损益1"/>
      <sheetName val="PRN损益2"/>
      <sheetName val="PRN成本数据"/>
      <sheetName val="PRN成本1"/>
      <sheetName val="PRN成本2"/>
      <sheetName val="PRN现金(全部)1"/>
      <sheetName val="PRN现金(全部)2"/>
      <sheetName val="PRN现金(全部)3"/>
      <sheetName val="PRN还贷(国外)1"/>
      <sheetName val="PRN还贷(国外)2"/>
      <sheetName val="PRN还贷(国外)3"/>
      <sheetName val="PRN还贷(全部)1"/>
      <sheetName val="PRN还贷(全部)2"/>
      <sheetName val="PRN还贷(全部)3"/>
      <sheetName val="PRN经营敏感 "/>
      <sheetName val="PRNIRR敏感"/>
      <sheetName val="PRN汇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总封"/>
      <sheetName val="泵房"/>
      <sheetName val="沉砂"/>
      <sheetName val="氧沟"/>
      <sheetName val="脱水"/>
      <sheetName val="数据"/>
      <sheetName val="计算"/>
      <sheetName val="概算总表"/>
      <sheetName val="利息"/>
      <sheetName val="概算总表 (2)"/>
      <sheetName val="利息 (2)"/>
      <sheetName val="概算总表 (3)"/>
      <sheetName val="利息 (3)"/>
      <sheetName val="概算总表 (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打印1"/>
      <sheetName val="打印2"/>
      <sheetName val="原始数据"/>
      <sheetName val="生产成本表"/>
      <sheetName val="总成本估算表"/>
      <sheetName val="销售收入表和支出"/>
      <sheetName val="现金流量表"/>
      <sheetName val="还贷能力预测表(贷款部分)"/>
      <sheetName val="还贷能力预测表(全部投资)"/>
      <sheetName val="损益表"/>
      <sheetName val="财务内部收益率敏感性分析"/>
      <sheetName val="借款还本付息表"/>
      <sheetName val="资金来源和运作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打印1"/>
      <sheetName val="打印2"/>
      <sheetName val="原始数据"/>
      <sheetName val="生产成本表"/>
      <sheetName val="总成本估算表"/>
      <sheetName val="销售收入表和支出"/>
      <sheetName val="现金流量表"/>
      <sheetName val="还贷能力预测表(贷款部分)"/>
      <sheetName val="还贷能力预测表(全部投资)"/>
      <sheetName val="损益表"/>
      <sheetName val="财务内部收益率敏感性分析"/>
      <sheetName val="借款还本付息表"/>
      <sheetName val="资金来源和运作表"/>
      <sheetName val="sis.xlm"/>
      <sheetName val="单位库"/>
      <sheetName val="汇总表"/>
      <sheetName val="管材综合单价(真实价)"/>
      <sheetName val="管材综合单价(投标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总封"/>
      <sheetName val="泵房"/>
      <sheetName val="沉砂"/>
      <sheetName val="氧沟"/>
      <sheetName val="脱水"/>
      <sheetName val="数据"/>
      <sheetName val="计算"/>
      <sheetName val="概算总表"/>
      <sheetName val="利息"/>
      <sheetName val="概算总表 (2)"/>
      <sheetName val="利息 (2)"/>
      <sheetName val="概算总表 (3)"/>
      <sheetName val="利息 (3)"/>
      <sheetName val="概算总表 (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总封"/>
      <sheetName val="泵房"/>
      <sheetName val="沉砂"/>
      <sheetName val="氧沟"/>
      <sheetName val="脱水"/>
      <sheetName val="数据"/>
      <sheetName val="计算"/>
      <sheetName val="概算总表"/>
      <sheetName val="利息"/>
      <sheetName val="概算总表 (2)"/>
      <sheetName val="利息 (2)"/>
      <sheetName val="概算总表 (3)"/>
      <sheetName val="利息 (3)"/>
      <sheetName val="概算总表 (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管道总表11月调"/>
      <sheetName val="汇总表11月调"/>
      <sheetName val="ⅡCASS厂址推荐11月调"/>
      <sheetName val="利息"/>
      <sheetName val="（1万吨）基本数据(推荐)11月调"/>
      <sheetName val="技经指表汇总表（1万吨）11月调"/>
      <sheetName val="资金筹措"/>
      <sheetName val="流动资金"/>
      <sheetName val="成本"/>
      <sheetName val="jdb"/>
      <sheetName val="现金流量"/>
      <sheetName val="损益"/>
      <sheetName val="借款还本付息表 "/>
      <sheetName val="资金应用"/>
      <sheetName val="资产负债"/>
      <sheetName val="敏感分析 (2)"/>
      <sheetName val="现金流量 (2)"/>
      <sheetName val="敏感分析"/>
      <sheetName val="ⅡCASS厂址推荐远期8-1 "/>
      <sheetName val="(Ⅰ)CASS（8-1） "/>
      <sheetName val="（Ⅰ）CASS 远期（8-1）"/>
      <sheetName val="汇总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封面模板"/>
      <sheetName val="格式"/>
      <sheetName val="总表模板"/>
      <sheetName val="总封模板"/>
      <sheetName val="子项列表"/>
      <sheetName val="CoverDemo"/>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Sheet1 (2)"/>
      <sheetName val="Sheet1 (14)"/>
      <sheetName val="Sheet1 (12)"/>
      <sheetName val="Sheet1 (11)"/>
      <sheetName val="Sheet1 (10)"/>
      <sheetName val="Sheet1 (9)"/>
      <sheetName val="Sheet1 (8)"/>
      <sheetName val="Sheet1 (7)"/>
      <sheetName val="Sheet1 (6)"/>
      <sheetName val="Sheet1 (3)"/>
      <sheetName val="Sheet1 (4)"/>
      <sheetName val="Sheet1 (5)"/>
      <sheetName val="建设期利息"/>
      <sheetName val="目录"/>
      <sheetName val="污水厂总表"/>
      <sheetName val="中途提升泵站"/>
      <sheetName val="综合概算表 "/>
      <sheetName val="泵站总表"/>
      <sheetName val="圆钢单位重量(不打印)"/>
      <sheetName val="钢筋(中途泵站)"/>
      <sheetName val="预埋铁件(中途泵站)"/>
      <sheetName val="XL3钢筋(中途泵房)"/>
      <sheetName val="XL4钢筋(中途泵房)"/>
      <sheetName val="XL1、2钢筋(中途泵房)"/>
      <sheetName val="XL5钢筋(中途泵房)"/>
      <sheetName val="LL1钢筋(中途泵房)"/>
      <sheetName val="KZ1钢筋(中途泵房)"/>
      <sheetName val="GZ钢筋(中途泵房)"/>
      <sheetName val="WL1钢筋(中途泵房)"/>
      <sheetName val="WKL1钢筋(中途泵房)"/>
      <sheetName val="WKL2-1钢筋(中途泵房)"/>
      <sheetName val="WKL2-2钢筋(中途泵房)"/>
      <sheetName val="LL-1钢筋(中途泵房)"/>
      <sheetName val="工程量计算(出水井)"/>
      <sheetName val="钢筋(出水井)"/>
      <sheetName val="工程量计算(进水井)"/>
      <sheetName val="钢筋(进水井)"/>
      <sheetName val="工程量计算(冲洗水池、储泥池)"/>
      <sheetName val="钢筋(冲洗水池、储泥池)"/>
      <sheetName val="工程量计算(回用水池)"/>
      <sheetName val="钢筋(回用水池)"/>
      <sheetName val="工程量计算(粗格栅井泵房)"/>
      <sheetName val="钢筋(粗格栅井泵房)"/>
      <sheetName val="预埋铁件(粗格栅井泵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sis.xlm"/>
      <sheetName val="analy"/>
      <sheetName val="Sheet2"/>
      <sheetName val="ANALYSIS"/>
      <sheetName val="Sheet1"/>
      <sheetName val="成本表"/>
      <sheetName val="全部流量"/>
      <sheetName val="国内流量"/>
      <sheetName val="损益表"/>
      <sheetName val="资金应用"/>
      <sheetName val="负债表"/>
      <sheetName val="借款表"/>
      <sheetName val="管材综合单价(真实价)"/>
      <sheetName val="管材综合单价(投标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sis.xlm"/>
      <sheetName val="概算总表"/>
    </sheetNames>
    <sheetDataSet>
      <sheetData sheetId="0" refreshError="1"/>
      <sheetData sheetId="1"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二沉池配水井"/>
      <sheetName val="16#"/>
      <sheetName val="17#"/>
      <sheetName val="18#"/>
      <sheetName val="sheet1"/>
    </sheetNames>
    <sheetDataSet>
      <sheetData sheetId="0" refreshError="1"/>
      <sheetData sheetId="1" refreshError="1"/>
      <sheetData sheetId="2" refreshError="1"/>
      <sheetData sheetId="3" refreshError="1"/>
      <sheetData sheetId="4"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REGRESS"/>
    </sheetNames>
    <sheetDataSet>
      <sheetData sheetId="0"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输送泵房土建"/>
      <sheetName val="XLR_NoRangeSheet"/>
    </sheetNames>
    <sheetDataSet>
      <sheetData sheetId="0" refreshError="1"/>
      <sheetData sheetId="1"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总表"/>
      <sheetName val="利息"/>
      <sheetName val="流动资金"/>
      <sheetName val="成本"/>
      <sheetName val="年成本分析"/>
      <sheetName val="现金流量"/>
      <sheetName val="资本金现金流量"/>
      <sheetName val="损益表"/>
      <sheetName val="财务计划"/>
      <sheetName val="资产负债"/>
      <sheetName val="借款偿还"/>
      <sheetName val="财务指标"/>
      <sheetName val="敏感分析1"/>
      <sheetName val="资金来源运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封面模板"/>
      <sheetName val="格式"/>
      <sheetName val="总表模板"/>
      <sheetName val="总封模板"/>
      <sheetName val="子项列表"/>
      <sheetName val="CoverDemo"/>
      <sheetName val="概算总表"/>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1" workbookViewId="0">
      <selection activeCell="A1" sqref="A1"/>
    </sheetView>
  </sheetViews>
  <sheetFormatPr defaultColWidth="9" defaultRowHeight="14.25"/>
  <sheetData/>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66"/>
  <sheetViews>
    <sheetView tabSelected="1" view="pageBreakPreview" zoomScaleNormal="90" zoomScaleSheetLayoutView="100" workbookViewId="0">
      <pane xSplit="2" ySplit="6" topLeftCell="C34" activePane="bottomRight" state="frozen"/>
      <selection/>
      <selection pane="topRight"/>
      <selection pane="bottomLeft"/>
      <selection pane="bottomRight" activeCell="A26" sqref="$A26:$XFD45"/>
    </sheetView>
  </sheetViews>
  <sheetFormatPr defaultColWidth="25.625" defaultRowHeight="17.25" customHeight="1"/>
  <cols>
    <col min="1" max="1" width="7.25" style="4" customWidth="1"/>
    <col min="2" max="2" width="23.7" style="5" customWidth="1"/>
    <col min="3" max="3" width="4.375" style="4" customWidth="1"/>
    <col min="4" max="4" width="10.25" style="6" customWidth="1"/>
    <col min="5" max="5" width="10.25" style="4" customWidth="1"/>
    <col min="6" max="6" width="11.1" style="4" customWidth="1"/>
    <col min="7" max="7" width="36.875" style="5" customWidth="1"/>
    <col min="8" max="8" width="28.75" style="4" customWidth="1"/>
    <col min="9" max="9" width="6.2" style="4" hidden="1" customWidth="1"/>
    <col min="10" max="16383" width="25.625" style="4"/>
  </cols>
  <sheetData>
    <row r="1" spans="1:1">
      <c r="A1" s="7" t="s">
        <v>0</v>
      </c>
    </row>
    <row r="2" spans="1:1">
      <c r="A2" s="7"/>
    </row>
    <row r="3" ht="42" customHeight="1" spans="1:8">
      <c r="A3" s="8" t="s">
        <v>1</v>
      </c>
      <c r="B3" s="8"/>
      <c r="C3" s="8"/>
      <c r="D3" s="8"/>
      <c r="E3" s="8"/>
      <c r="F3" s="8"/>
      <c r="G3" s="8"/>
      <c r="H3" s="9"/>
    </row>
    <row r="4" spans="1:8">
      <c r="A4" s="10" t="s">
        <v>2</v>
      </c>
      <c r="B4" s="10"/>
      <c r="C4" s="10"/>
      <c r="D4" s="10"/>
      <c r="E4" s="10"/>
      <c r="F4" s="10"/>
      <c r="H4" s="10"/>
    </row>
    <row r="5" s="1" customFormat="1" ht="16.5" spans="1:8">
      <c r="A5" s="11" t="s">
        <v>3</v>
      </c>
      <c r="B5" s="11" t="s">
        <v>4</v>
      </c>
      <c r="C5" s="11" t="s">
        <v>5</v>
      </c>
      <c r="D5" s="11" t="s">
        <v>6</v>
      </c>
      <c r="E5" s="11"/>
      <c r="F5" s="11"/>
      <c r="G5" s="11" t="s">
        <v>7</v>
      </c>
      <c r="H5" s="2"/>
    </row>
    <row r="6" s="1" customFormat="1" ht="33" spans="1:8">
      <c r="A6" s="11"/>
      <c r="B6" s="11"/>
      <c r="C6" s="11"/>
      <c r="D6" s="11" t="s">
        <v>8</v>
      </c>
      <c r="E6" s="11" t="s">
        <v>9</v>
      </c>
      <c r="F6" s="11" t="s">
        <v>10</v>
      </c>
      <c r="G6" s="11"/>
      <c r="H6" s="2"/>
    </row>
    <row r="7" s="2" customFormat="1" ht="18" customHeight="1" spans="1:9">
      <c r="A7" s="12" t="s">
        <v>11</v>
      </c>
      <c r="B7" s="13" t="s">
        <v>12</v>
      </c>
      <c r="C7" s="14" t="s">
        <v>13</v>
      </c>
      <c r="D7" s="15">
        <f>D9</f>
        <v>6828.94</v>
      </c>
      <c r="E7" s="16">
        <f>F7*10000/D7</f>
        <v>3493.50353056258</v>
      </c>
      <c r="F7" s="16">
        <f>F8+F10+F16+F20+F32+F30</f>
        <v>2385.6926</v>
      </c>
      <c r="G7" s="17" t="s">
        <v>14</v>
      </c>
      <c r="H7" s="18"/>
      <c r="I7" s="50">
        <f>F7/F46</f>
        <v>0.88794261962581</v>
      </c>
    </row>
    <row r="8" s="2" customFormat="1" ht="18" customHeight="1" spans="1:8">
      <c r="A8" s="19" t="s">
        <v>15</v>
      </c>
      <c r="B8" s="13" t="s">
        <v>16</v>
      </c>
      <c r="C8" s="14" t="s">
        <v>17</v>
      </c>
      <c r="D8" s="15">
        <f>D9</f>
        <v>6828.94</v>
      </c>
      <c r="E8" s="16">
        <f>F8*10000/D8</f>
        <v>1892.1747738302</v>
      </c>
      <c r="F8" s="15">
        <f>F9</f>
        <v>1292.1548</v>
      </c>
      <c r="G8" s="17"/>
      <c r="H8" s="18"/>
    </row>
    <row r="9" s="2" customFormat="1" ht="18" customHeight="1" outlineLevel="2" spans="1:8">
      <c r="A9" s="20">
        <f ca="1">IF(ISERROR(VALUE(SUBSTITUTE(OFFSET(A9,-1,0,1,1),".",""))),1,IF(ISERROR(FIND("`",SUBSTITUTE(OFFSET(A9,-1,0,1,1),".","`",1))),VALUE(OFFSET(A9,-1,0,1,1))+1,VALUE(LEFT(OFFSET(A9,-1,0,1,1),FIND("`",SUBSTITUTE(OFFSET(A9,-1,0,1,1),".","`",1))-1))+1))</f>
        <v>1</v>
      </c>
      <c r="B9" s="21" t="s">
        <v>16</v>
      </c>
      <c r="C9" s="22" t="s">
        <v>13</v>
      </c>
      <c r="D9" s="23">
        <v>6828.94</v>
      </c>
      <c r="E9" s="24">
        <f>F9*10000/D9</f>
        <v>1892.1747738302</v>
      </c>
      <c r="F9" s="25">
        <f>12921548/10000</f>
        <v>1292.1548</v>
      </c>
      <c r="G9" s="21" t="s">
        <v>18</v>
      </c>
      <c r="H9" s="1"/>
    </row>
    <row r="10" s="2" customFormat="1" ht="18" customHeight="1" spans="1:8">
      <c r="A10" s="19" t="s">
        <v>19</v>
      </c>
      <c r="B10" s="13" t="s">
        <v>20</v>
      </c>
      <c r="C10" s="14" t="s">
        <v>17</v>
      </c>
      <c r="D10" s="15">
        <f>D11+D13+D14</f>
        <v>3076.7</v>
      </c>
      <c r="E10" s="16"/>
      <c r="F10" s="16">
        <f>F11+F12+F13+F14+F15</f>
        <v>312.5069</v>
      </c>
      <c r="G10" s="26"/>
      <c r="H10" s="27"/>
    </row>
    <row r="11" s="2" customFormat="1" ht="18" customHeight="1" outlineLevel="1" spans="1:8">
      <c r="A11" s="20">
        <f ca="1">IF(ISERROR(VALUE(SUBSTITUTE(OFFSET(A11,-1,0,1,1),".",""))),1,IF(ISERROR(FIND("`",SUBSTITUTE(OFFSET(A11,-1,0,1,1),".","`",1))),VALUE(OFFSET(A11,-1,0,1,1))+1,VALUE(LEFT(OFFSET(A11,-1,0,1,1),FIND("`",SUBSTITUTE(OFFSET(A11,-1,0,1,1),".","`",1))-1))+1))</f>
        <v>1</v>
      </c>
      <c r="B11" s="21" t="s">
        <v>21</v>
      </c>
      <c r="C11" s="22" t="s">
        <v>13</v>
      </c>
      <c r="D11" s="28">
        <v>1300</v>
      </c>
      <c r="E11" s="24">
        <f>F11*10000/D11</f>
        <v>1338.38538461538</v>
      </c>
      <c r="F11" s="25">
        <f>1739901/10000</f>
        <v>173.9901</v>
      </c>
      <c r="G11" s="17" t="s">
        <v>22</v>
      </c>
      <c r="H11" s="18"/>
    </row>
    <row r="12" s="2" customFormat="1" ht="18" customHeight="1" outlineLevel="1" spans="1:8">
      <c r="A12" s="20">
        <f ca="1">IF(ISERROR(VALUE(SUBSTITUTE(OFFSET(A12,-1,0,1,1),".",""))),1,IF(ISERROR(FIND("`",SUBSTITUTE(OFFSET(A12,-1,0,1,1),".","`",1))),VALUE(OFFSET(A12,-1,0,1,1))+1,VALUE(LEFT(OFFSET(A12,-1,0,1,1),FIND("`",SUBSTITUTE(OFFSET(A12,-1,0,1,1),".","`",1))-1))+1))</f>
        <v>2</v>
      </c>
      <c r="B12" s="21" t="s">
        <v>23</v>
      </c>
      <c r="C12" s="22" t="s">
        <v>24</v>
      </c>
      <c r="D12" s="28">
        <v>1</v>
      </c>
      <c r="E12" s="24"/>
      <c r="F12" s="25">
        <f>118393/10000</f>
        <v>11.8393</v>
      </c>
      <c r="G12" s="17"/>
      <c r="H12" s="18"/>
    </row>
    <row r="13" s="2" customFormat="1" ht="18" customHeight="1" outlineLevel="1" spans="1:8">
      <c r="A13" s="20">
        <f ca="1">IF(ISERROR(VALUE(SUBSTITUTE(OFFSET(A13,-1,0,1,1),".",""))),1,IF(ISERROR(FIND("`",SUBSTITUTE(OFFSET(A13,-1,0,1,1),".","`",1))),VALUE(OFFSET(A13,-1,0,1,1))+1,VALUE(LEFT(OFFSET(A13,-1,0,1,1),FIND("`",SUBSTITUTE(OFFSET(A13,-1,0,1,1),".","`",1))-1))+1))</f>
        <v>3</v>
      </c>
      <c r="B13" s="21" t="s">
        <v>25</v>
      </c>
      <c r="C13" s="22" t="s">
        <v>13</v>
      </c>
      <c r="D13" s="29">
        <v>559.4</v>
      </c>
      <c r="E13" s="24"/>
      <c r="F13" s="25">
        <f>202785/10000</f>
        <v>20.2785</v>
      </c>
      <c r="G13" s="17"/>
      <c r="H13" s="18"/>
    </row>
    <row r="14" s="2" customFormat="1" ht="33" outlineLevel="1" spans="1:8">
      <c r="A14" s="20">
        <f ca="1">IF(ISERROR(VALUE(SUBSTITUTE(OFFSET(A14,-1,0,1,1),".",""))),1,IF(ISERROR(FIND("`",SUBSTITUTE(OFFSET(A14,-1,0,1,1),".","`",1))),VALUE(OFFSET(A14,-1,0,1,1))+1,VALUE(LEFT(OFFSET(A14,-1,0,1,1),FIND("`",SUBSTITUTE(OFFSET(A14,-1,0,1,1),".","`",1))-1))+1))</f>
        <v>4</v>
      </c>
      <c r="B14" s="30" t="s">
        <v>26</v>
      </c>
      <c r="C14" s="22" t="s">
        <v>13</v>
      </c>
      <c r="D14" s="23">
        <v>1217.3</v>
      </c>
      <c r="E14" s="24"/>
      <c r="F14" s="25">
        <f>(1019101)/10000</f>
        <v>101.9101</v>
      </c>
      <c r="G14" s="17" t="s">
        <v>27</v>
      </c>
      <c r="H14" s="18"/>
    </row>
    <row r="15" s="1" customFormat="1" ht="16.5" outlineLevel="1" spans="1:8">
      <c r="A15" s="20">
        <f ca="1">IF(ISERROR(VALUE(SUBSTITUTE(OFFSET(A15,-1,0,1,1),".",""))),1,IF(ISERROR(FIND("`",SUBSTITUTE(OFFSET(A15,-1,0,1,1),".","`",1))),VALUE(OFFSET(A15,-1,0,1,1))+1,VALUE(LEFT(OFFSET(A15,-1,0,1,1),FIND("`",SUBSTITUTE(OFFSET(A15,-1,0,1,1),".","`",1))-1))+1))</f>
        <v>5</v>
      </c>
      <c r="B15" s="21" t="s">
        <v>28</v>
      </c>
      <c r="C15" s="22" t="s">
        <v>24</v>
      </c>
      <c r="D15" s="31">
        <v>1</v>
      </c>
      <c r="E15" s="31"/>
      <c r="F15" s="32">
        <f>44889/10000</f>
        <v>4.4889</v>
      </c>
      <c r="G15" s="21" t="s">
        <v>29</v>
      </c>
      <c r="H15" s="18"/>
    </row>
    <row r="16" s="2" customFormat="1" ht="16.5" spans="1:8">
      <c r="A16" s="19" t="s">
        <v>30</v>
      </c>
      <c r="B16" s="13" t="s">
        <v>31</v>
      </c>
      <c r="C16" s="14" t="s">
        <v>17</v>
      </c>
      <c r="D16" s="15">
        <f>D7</f>
        <v>6828.94</v>
      </c>
      <c r="E16" s="16">
        <f>F16*10000/D16</f>
        <v>350.128277595059</v>
      </c>
      <c r="F16" s="16">
        <f>F17+F18+F19</f>
        <v>239.1005</v>
      </c>
      <c r="G16" s="33"/>
      <c r="H16" s="34"/>
    </row>
    <row r="17" s="2" customFormat="1" ht="16.5" outlineLevel="1" spans="1:9">
      <c r="A17" s="20">
        <f ca="1">IF(ISERROR(VALUE(SUBSTITUTE(OFFSET(A17,-1,0,1,1),".",""))),1,IF(ISERROR(FIND("`",SUBSTITUTE(OFFSET(A17,-1,0,1,1),".","`",1))),VALUE(OFFSET(A17,-1,0,1,1))+1,VALUE(LEFT(OFFSET(A17,-1,0,1,1),FIND("`",SUBSTITUTE(OFFSET(A17,-1,0,1,1),".","`",1))-1))+1))</f>
        <v>1</v>
      </c>
      <c r="B17" s="21" t="s">
        <v>31</v>
      </c>
      <c r="C17" s="22" t="s">
        <v>13</v>
      </c>
      <c r="D17" s="23">
        <f>D9</f>
        <v>6828.94</v>
      </c>
      <c r="E17" s="24">
        <f>F17*10000/D17</f>
        <v>229.38904134463</v>
      </c>
      <c r="F17" s="32">
        <f>1566484/10000</f>
        <v>156.6484</v>
      </c>
      <c r="G17" s="21" t="s">
        <v>18</v>
      </c>
      <c r="H17" s="1"/>
      <c r="I17" s="51"/>
    </row>
    <row r="18" s="1" customFormat="1" ht="16.5" outlineLevel="1" spans="1:8">
      <c r="A18" s="20">
        <f ca="1">IF(ISERROR(VALUE(SUBSTITUTE(OFFSET(A18,-1,0,1,1),".",""))),1,IF(ISERROR(FIND("`",SUBSTITUTE(OFFSET(A18,-1,0,1,1),".","`",1))),VALUE(OFFSET(A18,-1,0,1,1))+1,VALUE(LEFT(OFFSET(A18,-1,0,1,1),FIND("`",SUBSTITUTE(OFFSET(A18,-1,0,1,1),".","`",1))-1))+1))</f>
        <v>2</v>
      </c>
      <c r="B18" s="30" t="s">
        <v>32</v>
      </c>
      <c r="C18" s="22" t="s">
        <v>24</v>
      </c>
      <c r="D18" s="22">
        <f>D10</f>
        <v>3076.7</v>
      </c>
      <c r="E18" s="24">
        <f>F18*10000/D18</f>
        <v>230.852536808919</v>
      </c>
      <c r="F18" s="32">
        <f>(606956+103308)/10000</f>
        <v>71.0264</v>
      </c>
      <c r="G18" s="17" t="s">
        <v>33</v>
      </c>
      <c r="H18" s="18"/>
    </row>
    <row r="19" s="1" customFormat="1" ht="16.5" outlineLevel="1" spans="1:8">
      <c r="A19" s="20">
        <f ca="1">IF(ISERROR(VALUE(SUBSTITUTE(OFFSET(A19,-1,0,1,1),".",""))),1,IF(ISERROR(FIND("`",SUBSTITUTE(OFFSET(A19,-1,0,1,1),".","`",1))),VALUE(OFFSET(A19,-1,0,1,1))+1,VALUE(LEFT(OFFSET(A19,-1,0,1,1),FIND("`",SUBSTITUTE(OFFSET(A19,-1,0,1,1),".","`",1))-1))+1))</f>
        <v>3</v>
      </c>
      <c r="B19" s="30" t="s">
        <v>34</v>
      </c>
      <c r="C19" s="22" t="s">
        <v>24</v>
      </c>
      <c r="D19" s="22">
        <v>1</v>
      </c>
      <c r="E19" s="24"/>
      <c r="F19" s="24">
        <f>114257/10000</f>
        <v>11.4257</v>
      </c>
      <c r="G19" s="17"/>
      <c r="H19" s="18"/>
    </row>
    <row r="20" s="2" customFormat="1" ht="16.5" spans="1:8">
      <c r="A20" s="19" t="s">
        <v>35</v>
      </c>
      <c r="B20" s="13" t="s">
        <v>36</v>
      </c>
      <c r="C20" s="14"/>
      <c r="D20" s="15"/>
      <c r="E20" s="16"/>
      <c r="F20" s="16">
        <f>SUM(F21:F29)</f>
        <v>356.1685</v>
      </c>
      <c r="G20" s="35"/>
      <c r="H20" s="34"/>
    </row>
    <row r="21" s="2" customFormat="1" ht="16.5" outlineLevel="1" spans="1:8">
      <c r="A21" s="20">
        <f ca="1" t="shared" ref="A21:A29" si="0">IF(ISERROR(VALUE(SUBSTITUTE(OFFSET(A21,-1,0,1,1),".",""))),1,IF(ISERROR(FIND("`",SUBSTITUTE(OFFSET(A21,-1,0,1,1),".","`",1))),VALUE(OFFSET(A21,-1,0,1,1))+1,VALUE(LEFT(OFFSET(A21,-1,0,1,1),FIND("`",SUBSTITUTE(OFFSET(A21,-1,0,1,1),".","`",1))-1))+1))</f>
        <v>1</v>
      </c>
      <c r="B21" s="21" t="s">
        <v>37</v>
      </c>
      <c r="C21" s="22" t="s">
        <v>24</v>
      </c>
      <c r="D21" s="22">
        <v>1</v>
      </c>
      <c r="E21" s="24"/>
      <c r="F21" s="32">
        <f>981081/10000</f>
        <v>98.1081</v>
      </c>
      <c r="G21" s="33"/>
      <c r="H21" s="34"/>
    </row>
    <row r="22" s="2" customFormat="1" ht="16.5" outlineLevel="1" spans="1:8">
      <c r="A22" s="20">
        <f ca="1" t="shared" si="0"/>
        <v>2</v>
      </c>
      <c r="B22" s="21" t="s">
        <v>38</v>
      </c>
      <c r="C22" s="22" t="s">
        <v>39</v>
      </c>
      <c r="D22" s="22">
        <v>1</v>
      </c>
      <c r="E22" s="24"/>
      <c r="F22" s="24">
        <f>646409/10000</f>
        <v>64.6409</v>
      </c>
      <c r="G22" s="33"/>
      <c r="H22" s="34"/>
    </row>
    <row r="23" s="3" customFormat="1" ht="16.5" outlineLevel="1" spans="1:8">
      <c r="A23" s="20">
        <f ca="1" t="shared" si="0"/>
        <v>3</v>
      </c>
      <c r="B23" s="21" t="s">
        <v>40</v>
      </c>
      <c r="C23" s="22" t="s">
        <v>24</v>
      </c>
      <c r="D23" s="22">
        <v>1</v>
      </c>
      <c r="E23" s="24"/>
      <c r="F23" s="24">
        <f>65</f>
        <v>65</v>
      </c>
      <c r="G23" s="33"/>
      <c r="H23" s="36"/>
    </row>
    <row r="24" s="3" customFormat="1" ht="16.5" outlineLevel="1" spans="1:8">
      <c r="A24" s="20">
        <f ca="1" t="shared" si="0"/>
        <v>4</v>
      </c>
      <c r="B24" s="21" t="s">
        <v>41</v>
      </c>
      <c r="C24" s="22" t="s">
        <v>24</v>
      </c>
      <c r="D24" s="22">
        <v>1</v>
      </c>
      <c r="E24" s="24"/>
      <c r="F24" s="24">
        <v>50</v>
      </c>
      <c r="G24" s="33" t="s">
        <v>42</v>
      </c>
      <c r="H24" s="36"/>
    </row>
    <row r="25" s="2" customFormat="1" ht="16.5" outlineLevel="1" spans="1:8">
      <c r="A25" s="20">
        <f ca="1" t="shared" si="0"/>
        <v>5</v>
      </c>
      <c r="B25" s="21" t="s">
        <v>43</v>
      </c>
      <c r="C25" s="22" t="s">
        <v>39</v>
      </c>
      <c r="D25" s="22">
        <v>1</v>
      </c>
      <c r="E25" s="24"/>
      <c r="F25" s="24">
        <f>15</f>
        <v>15</v>
      </c>
      <c r="G25" s="33" t="s">
        <v>44</v>
      </c>
      <c r="H25" s="34"/>
    </row>
    <row r="26" s="2" customFormat="1" ht="21" customHeight="1" outlineLevel="1" spans="1:8">
      <c r="A26" s="20">
        <f ca="1" t="shared" si="0"/>
        <v>6</v>
      </c>
      <c r="B26" s="21" t="s">
        <v>45</v>
      </c>
      <c r="C26" s="22" t="s">
        <v>39</v>
      </c>
      <c r="D26" s="22">
        <v>1</v>
      </c>
      <c r="E26" s="24"/>
      <c r="F26" s="24">
        <f>220244/10000</f>
        <v>22.0244</v>
      </c>
      <c r="G26" s="33"/>
      <c r="H26" s="34"/>
    </row>
    <row r="27" s="2" customFormat="1" ht="21" customHeight="1" outlineLevel="1" spans="1:8">
      <c r="A27" s="20">
        <f ca="1" t="shared" si="0"/>
        <v>7</v>
      </c>
      <c r="B27" s="21" t="s">
        <v>46</v>
      </c>
      <c r="C27" s="22" t="s">
        <v>47</v>
      </c>
      <c r="D27" s="22">
        <v>2</v>
      </c>
      <c r="E27" s="24"/>
      <c r="F27" s="24">
        <f>28</f>
        <v>28</v>
      </c>
      <c r="G27" s="33"/>
      <c r="H27" s="34"/>
    </row>
    <row r="28" s="2" customFormat="1" ht="21" customHeight="1" outlineLevel="1" spans="1:8">
      <c r="A28" s="20">
        <f ca="1" t="shared" si="0"/>
        <v>8</v>
      </c>
      <c r="B28" s="21" t="s">
        <v>48</v>
      </c>
      <c r="C28" s="22" t="s">
        <v>24</v>
      </c>
      <c r="D28" s="22">
        <v>1</v>
      </c>
      <c r="E28" s="24"/>
      <c r="F28" s="24">
        <f>83951/10000</f>
        <v>8.3951</v>
      </c>
      <c r="G28" s="33"/>
      <c r="H28" s="34"/>
    </row>
    <row r="29" s="2" customFormat="1" ht="21" customHeight="1" outlineLevel="1" spans="1:8">
      <c r="A29" s="20">
        <f ca="1" t="shared" si="0"/>
        <v>9</v>
      </c>
      <c r="B29" s="21" t="s">
        <v>49</v>
      </c>
      <c r="C29" s="22" t="s">
        <v>24</v>
      </c>
      <c r="D29" s="22">
        <v>1</v>
      </c>
      <c r="E29" s="24"/>
      <c r="F29" s="24">
        <v>5</v>
      </c>
      <c r="G29" s="33"/>
      <c r="H29" s="34"/>
    </row>
    <row r="30" s="2" customFormat="1" ht="21" customHeight="1" spans="1:8">
      <c r="A30" s="19" t="s">
        <v>50</v>
      </c>
      <c r="B30" s="13" t="s">
        <v>51</v>
      </c>
      <c r="C30" s="14"/>
      <c r="D30" s="15"/>
      <c r="E30" s="16"/>
      <c r="F30" s="16">
        <f>SUM(F31:F31)</f>
        <v>155.7619</v>
      </c>
      <c r="G30" s="33"/>
      <c r="H30" s="34"/>
    </row>
    <row r="31" s="2" customFormat="1" ht="21" customHeight="1" outlineLevel="1" spans="1:8">
      <c r="A31" s="20">
        <f ca="1">IF(ISERROR(VALUE(SUBSTITUTE(OFFSET(A31,-1,0,1,1),".",""))),1,IF(ISERROR(FIND("`",SUBSTITUTE(OFFSET(A31,-1,0,1,1),".","`",1))),VALUE(OFFSET(A31,-1,0,1,1))+1,VALUE(LEFT(OFFSET(A31,-1,0,1,1),FIND("`",SUBSTITUTE(OFFSET(A31,-1,0,1,1),".","`",1))-1))+1))</f>
        <v>1</v>
      </c>
      <c r="B31" s="21" t="s">
        <v>52</v>
      </c>
      <c r="C31" s="22" t="s">
        <v>24</v>
      </c>
      <c r="D31" s="22">
        <v>1</v>
      </c>
      <c r="E31" s="24"/>
      <c r="F31" s="37">
        <f>1557619/10000</f>
        <v>155.7619</v>
      </c>
      <c r="G31" s="33"/>
      <c r="H31" s="34"/>
    </row>
    <row r="32" s="2" customFormat="1" ht="21" customHeight="1" spans="1:8">
      <c r="A32" s="19" t="s">
        <v>53</v>
      </c>
      <c r="B32" s="13" t="s">
        <v>54</v>
      </c>
      <c r="C32" s="14" t="s">
        <v>24</v>
      </c>
      <c r="D32" s="14">
        <v>1</v>
      </c>
      <c r="E32" s="16"/>
      <c r="F32" s="16">
        <f>30</f>
        <v>30</v>
      </c>
      <c r="G32" s="38"/>
      <c r="H32" s="39"/>
    </row>
    <row r="33" s="2" customFormat="1" ht="21" customHeight="1" spans="1:9">
      <c r="A33" s="11" t="s">
        <v>55</v>
      </c>
      <c r="B33" s="13" t="s">
        <v>56</v>
      </c>
      <c r="C33" s="11" t="s">
        <v>24</v>
      </c>
      <c r="D33" s="40">
        <v>1</v>
      </c>
      <c r="E33" s="16"/>
      <c r="F33" s="16">
        <f>SUM(F34:F44)</f>
        <v>197.73468641</v>
      </c>
      <c r="G33" s="17"/>
      <c r="H33" s="18"/>
      <c r="I33" s="50">
        <f>F33/F46</f>
        <v>0.0735958419126519</v>
      </c>
    </row>
    <row r="34" s="1" customFormat="1" ht="21" customHeight="1" outlineLevel="1" spans="1:7">
      <c r="A34" s="20">
        <f ca="1">IF(ISERROR(VALUE(SUBSTITUTE(OFFSET(A34,-1,0,1,1),".",""))),1,IF(ISERROR(FIND("`",SUBSTITUTE(OFFSET(A34,-1,0,1,1),".","`",1))),VALUE(OFFSET(A34,-1,0,1,1))+1,VALUE(LEFT(OFFSET(A34,-1,0,1,1),FIND("`",SUBSTITUTE(OFFSET(A34,-1,0,1,1),".","`",1))-1))+1))</f>
        <v>1</v>
      </c>
      <c r="B34" s="21" t="s">
        <v>57</v>
      </c>
      <c r="C34" s="31" t="s">
        <v>24</v>
      </c>
      <c r="D34" s="41">
        <v>1</v>
      </c>
      <c r="E34" s="42"/>
      <c r="F34" s="24">
        <f>(F7-F30)*1.2%</f>
        <v>26.7591684</v>
      </c>
      <c r="G34" s="21"/>
    </row>
    <row r="35" s="1" customFormat="1" ht="21" customHeight="1" outlineLevel="1" spans="1:8">
      <c r="A35" s="20">
        <f ca="1" t="shared" ref="A35:A45" si="1">IF(ISERROR(VALUE(SUBSTITUTE(OFFSET(A35,-1,0,1,1),".",""))),1,IF(ISERROR(FIND("`",SUBSTITUTE(OFFSET(A35,-1,0,1,1),".","`",1))),VALUE(OFFSET(A35,-1,0,1,1))+1,VALUE(LEFT(OFFSET(A35,-1,0,1,1),FIND("`",SUBSTITUTE(OFFSET(A35,-1,0,1,1),".","`",1))-1))+1))</f>
        <v>2</v>
      </c>
      <c r="B35" s="21" t="s">
        <v>58</v>
      </c>
      <c r="C35" s="31" t="s">
        <v>24</v>
      </c>
      <c r="D35" s="41">
        <v>1</v>
      </c>
      <c r="E35" s="42"/>
      <c r="F35" s="24">
        <f>(F7-F30)*1.4%</f>
        <v>31.2190298</v>
      </c>
      <c r="G35" s="43"/>
      <c r="H35" s="44"/>
    </row>
    <row r="36" s="1" customFormat="1" ht="21" customHeight="1" outlineLevel="1" spans="1:8">
      <c r="A36" s="20">
        <f ca="1" t="shared" si="1"/>
        <v>3</v>
      </c>
      <c r="B36" s="21" t="s">
        <v>59</v>
      </c>
      <c r="C36" s="31" t="s">
        <v>24</v>
      </c>
      <c r="D36" s="41">
        <v>1</v>
      </c>
      <c r="E36" s="42"/>
      <c r="F36" s="24">
        <f>(F7-F30)*2.6%</f>
        <v>57.9781982</v>
      </c>
      <c r="G36" s="43"/>
      <c r="H36" s="44"/>
    </row>
    <row r="37" s="1" customFormat="1" ht="21" customHeight="1" outlineLevel="1" spans="1:7">
      <c r="A37" s="20">
        <f ca="1" t="shared" si="1"/>
        <v>4</v>
      </c>
      <c r="B37" s="21" t="s">
        <v>60</v>
      </c>
      <c r="C37" s="31" t="s">
        <v>24</v>
      </c>
      <c r="D37" s="41">
        <v>1</v>
      </c>
      <c r="E37" s="42"/>
      <c r="F37" s="24">
        <f>(F7-F30)*0.8%</f>
        <v>17.8394456</v>
      </c>
      <c r="G37" s="21"/>
    </row>
    <row r="38" s="1" customFormat="1" ht="21" customHeight="1" outlineLevel="1" spans="1:8">
      <c r="A38" s="20">
        <f ca="1" t="shared" si="1"/>
        <v>5</v>
      </c>
      <c r="B38" s="21" t="s">
        <v>61</v>
      </c>
      <c r="C38" s="31" t="s">
        <v>24</v>
      </c>
      <c r="D38" s="41">
        <v>1</v>
      </c>
      <c r="E38" s="42"/>
      <c r="F38" s="24">
        <f>F7*0.03%</f>
        <v>0.71570778</v>
      </c>
      <c r="G38" s="45"/>
      <c r="H38" s="46"/>
    </row>
    <row r="39" s="1" customFormat="1" ht="21" customHeight="1" outlineLevel="1" spans="1:7">
      <c r="A39" s="20">
        <f ca="1" t="shared" si="1"/>
        <v>6</v>
      </c>
      <c r="B39" s="21" t="s">
        <v>62</v>
      </c>
      <c r="C39" s="31" t="s">
        <v>24</v>
      </c>
      <c r="D39" s="41">
        <v>1</v>
      </c>
      <c r="E39" s="42"/>
      <c r="F39" s="24">
        <f>(100*1%+(500-100)*0.7%+(1000-500)*0.55%+(F7-1000)*0.35%)</f>
        <v>11.3999241</v>
      </c>
      <c r="G39" s="21"/>
    </row>
    <row r="40" s="1" customFormat="1" ht="21" customHeight="1" outlineLevel="1" spans="1:7">
      <c r="A40" s="20">
        <f ca="1" t="shared" si="1"/>
        <v>7</v>
      </c>
      <c r="B40" s="21" t="s">
        <v>63</v>
      </c>
      <c r="C40" s="31" t="s">
        <v>24</v>
      </c>
      <c r="D40" s="41">
        <v>1</v>
      </c>
      <c r="E40" s="42"/>
      <c r="F40" s="24">
        <f>F7*0.15%</f>
        <v>3.5785389</v>
      </c>
      <c r="G40" s="21"/>
    </row>
    <row r="41" s="1" customFormat="1" ht="21" customHeight="1" outlineLevel="1" spans="1:8">
      <c r="A41" s="20">
        <f ca="1" t="shared" si="1"/>
        <v>8</v>
      </c>
      <c r="B41" s="21" t="s">
        <v>64</v>
      </c>
      <c r="C41" s="31" t="s">
        <v>24</v>
      </c>
      <c r="D41" s="41">
        <v>1</v>
      </c>
      <c r="E41" s="42"/>
      <c r="F41" s="24">
        <f>(6+1.2+4+5)*0.7</f>
        <v>11.34</v>
      </c>
      <c r="G41" s="47"/>
      <c r="H41" s="48"/>
    </row>
    <row r="42" s="1" customFormat="1" ht="21" customHeight="1" outlineLevel="1" spans="1:7">
      <c r="A42" s="20">
        <f ca="1" t="shared" si="1"/>
        <v>9</v>
      </c>
      <c r="B42" s="21" t="s">
        <v>65</v>
      </c>
      <c r="C42" s="31" t="s">
        <v>24</v>
      </c>
      <c r="D42" s="41">
        <v>1</v>
      </c>
      <c r="E42" s="42"/>
      <c r="F42" s="24">
        <f>1.5+(F7-10000)*(2-1.5)/(20000-10000)</f>
        <v>1.11928463</v>
      </c>
      <c r="G42" s="21"/>
    </row>
    <row r="43" s="1" customFormat="1" ht="21" customHeight="1" outlineLevel="1" spans="1:7">
      <c r="A43" s="20">
        <f ca="1" t="shared" si="1"/>
        <v>10</v>
      </c>
      <c r="B43" s="21" t="s">
        <v>66</v>
      </c>
      <c r="C43" s="31" t="s">
        <v>24</v>
      </c>
      <c r="D43" s="41">
        <v>1</v>
      </c>
      <c r="E43" s="24"/>
      <c r="F43" s="24">
        <f>F7*0.5%</f>
        <v>11.928463</v>
      </c>
      <c r="G43" s="21"/>
    </row>
    <row r="44" s="1" customFormat="1" ht="21" customHeight="1" outlineLevel="1" spans="1:7">
      <c r="A44" s="20">
        <f ca="1" t="shared" si="1"/>
        <v>11</v>
      </c>
      <c r="B44" s="21" t="s">
        <v>67</v>
      </c>
      <c r="C44" s="22" t="s">
        <v>24</v>
      </c>
      <c r="D44" s="29">
        <v>1</v>
      </c>
      <c r="E44" s="24"/>
      <c r="F44" s="49">
        <f>F7*1%</f>
        <v>23.856926</v>
      </c>
      <c r="G44" s="21" t="s">
        <v>68</v>
      </c>
    </row>
    <row r="45" s="2" customFormat="1" ht="21" customHeight="1" spans="1:9">
      <c r="A45" s="11" t="s">
        <v>69</v>
      </c>
      <c r="B45" s="13" t="s">
        <v>70</v>
      </c>
      <c r="C45" s="11" t="s">
        <v>24</v>
      </c>
      <c r="D45" s="40">
        <v>1</v>
      </c>
      <c r="E45" s="16"/>
      <c r="F45" s="16">
        <f>(F7+F33)*4%</f>
        <v>103.3370914564</v>
      </c>
      <c r="G45" s="17" t="s">
        <v>71</v>
      </c>
      <c r="H45" s="18"/>
      <c r="I45" s="50">
        <f>F45/F46</f>
        <v>0.0384615384615385</v>
      </c>
    </row>
    <row r="46" s="2" customFormat="1" ht="33" spans="1:9">
      <c r="A46" s="11" t="s">
        <v>72</v>
      </c>
      <c r="B46" s="13" t="s">
        <v>73</v>
      </c>
      <c r="C46" s="11" t="s">
        <v>74</v>
      </c>
      <c r="D46" s="16">
        <f>D7</f>
        <v>6828.94</v>
      </c>
      <c r="E46" s="16">
        <f>F46*10000/D46</f>
        <v>3934.37982742036</v>
      </c>
      <c r="F46" s="16">
        <f>F7+F33+F45</f>
        <v>2686.7643778664</v>
      </c>
      <c r="G46" s="13"/>
      <c r="I46" s="50"/>
    </row>
    <row r="47" customHeight="1" spans="4:4">
      <c r="D47" s="4"/>
    </row>
    <row r="48" customHeight="1" spans="2:4">
      <c r="B48" s="4"/>
      <c r="D48" s="4"/>
    </row>
    <row r="49" customHeight="1" spans="4:4">
      <c r="D49" s="4"/>
    </row>
    <row r="50" customHeight="1" spans="4:4">
      <c r="D50" s="4"/>
    </row>
    <row r="51" customHeight="1" spans="4:4">
      <c r="D51" s="4"/>
    </row>
    <row r="52" customHeight="1" spans="4:4">
      <c r="D52" s="4"/>
    </row>
    <row r="53" customHeight="1" spans="4:4">
      <c r="D53" s="4"/>
    </row>
    <row r="54" customHeight="1" spans="4:4">
      <c r="D54" s="4"/>
    </row>
    <row r="55" customHeight="1" spans="4:4">
      <c r="D55" s="4"/>
    </row>
    <row r="56" customHeight="1" spans="4:4">
      <c r="D56" s="4"/>
    </row>
    <row r="57" customHeight="1" spans="4:4">
      <c r="D57" s="4"/>
    </row>
    <row r="58" customHeight="1" spans="4:4">
      <c r="D58" s="4"/>
    </row>
    <row r="59" customHeight="1" spans="4:4">
      <c r="D59" s="4"/>
    </row>
    <row r="60" customHeight="1" spans="4:4">
      <c r="D60" s="4"/>
    </row>
    <row r="61" customHeight="1" spans="4:4">
      <c r="D61" s="4"/>
    </row>
    <row r="62" customHeight="1" spans="4:4">
      <c r="D62" s="4"/>
    </row>
    <row r="63" customHeight="1" spans="4:4">
      <c r="D63" s="4"/>
    </row>
    <row r="64" customHeight="1" spans="4:4">
      <c r="D64" s="4"/>
    </row>
    <row r="65" customHeight="1" spans="4:4">
      <c r="D65" s="4"/>
    </row>
    <row r="66" customHeight="1" spans="4:4">
      <c r="D66" s="4"/>
    </row>
  </sheetData>
  <mergeCells count="7">
    <mergeCell ref="A3:G3"/>
    <mergeCell ref="A4:G4"/>
    <mergeCell ref="D5:F5"/>
    <mergeCell ref="A5:A6"/>
    <mergeCell ref="B5:B6"/>
    <mergeCell ref="C5:C6"/>
    <mergeCell ref="G5:G6"/>
  </mergeCells>
  <pageMargins left="0.393055555555556" right="0.354166666666667" top="0.196527777777778" bottom="0" header="0.0388888888888889" footer="0"/>
  <pageSetup paperSize="9" scale="86" fitToHeight="0" orientation="portrait" horizontalDpi="600"/>
  <headerFooter alignWithMargins="0"/>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Company>WWW.YlmF.CoM</Company>
  <Application>Microsoft Excel</Application>
  <HeadingPairs>
    <vt:vector size="2" baseType="variant">
      <vt:variant>
        <vt:lpstr>工作表</vt:lpstr>
      </vt:variant>
      <vt:variant>
        <vt:i4>2</vt:i4>
      </vt:variant>
    </vt:vector>
  </HeadingPairs>
  <TitlesOfParts>
    <vt:vector size="2" baseType="lpstr">
      <vt:lpstr>OwQjaF2</vt:lpstr>
      <vt:lpstr>概算汇总表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雨林木风</dc:creator>
  <cp:lastModifiedBy>Administrator</cp:lastModifiedBy>
  <dcterms:created xsi:type="dcterms:W3CDTF">2013-02-04T07:40:00Z</dcterms:created>
  <cp:lastPrinted>2022-02-10T03:31:00Z</cp:lastPrinted>
  <dcterms:modified xsi:type="dcterms:W3CDTF">2026-01-01T00:07:03Z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43E28E18126B42968A0C57A3D3011C92_13</vt:lpwstr>
  </property>
  <property fmtid="{D5CDD505-2E9C-101B-9397-08002B2CF9AE}" pid="3" name="KSOProductBuildVer">
    <vt:lpwstr>2052-11.1.0.10228</vt:lpwstr>
  </property>
  <property fmtid="{D5CDD505-2E9C-101B-9397-08002B2CF9AE}" pid="4" name="KSOReadingLayout">
    <vt:bool>true</vt:bool>
  </property>
  <property fmtid="{D5CDD505-2E9C-101B-9397-08002B2CF9AE}" pid="5" name="CalculationRule">
    <vt:i4>0</vt:i4>
  </property>
</Properties>
</file>