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390" tabRatio="752"/>
  </bookViews>
  <sheets>
    <sheet name="工程概算汇总表 " sheetId="30" r:id="rId1"/>
    <sheet name="其他费" sheetId="26" state="hidden" r:id="rId2"/>
    <sheet name="设计费" sheetId="27" state="hidden" r:id="rId3"/>
  </sheets>
  <externalReferences>
    <externalReference r:id="rId4"/>
  </externalReferences>
  <definedNames>
    <definedName name="_xlnm.Print_Area" localSheetId="0">'工程概算汇总表 '!$A$1:$H$125</definedName>
    <definedName name="_xlnm.Print_Titles" localSheetId="0">'工程概算汇总表 '!$1:$3</definedName>
  </definedNames>
  <calcPr calcId="144525"/>
</workbook>
</file>

<file path=xl/sharedStrings.xml><?xml version="1.0" encoding="utf-8"?>
<sst xmlns="http://schemas.openxmlformats.org/spreadsheetml/2006/main" count="255" uniqueCount="164">
  <si>
    <t>长汀县居民燃气管道和设施更新改造工程概算汇总表</t>
  </si>
  <si>
    <t>序号</t>
  </si>
  <si>
    <t>工程或费用名称</t>
  </si>
  <si>
    <r>
      <rPr>
        <sz val="10.5"/>
        <color theme="1"/>
        <rFont val="宋体"/>
        <charset val="134"/>
      </rPr>
      <t>概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宋体"/>
        <charset val="134"/>
      </rPr>
      <t>算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宋体"/>
        <charset val="134"/>
      </rPr>
      <t>造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宋体"/>
        <charset val="134"/>
      </rPr>
      <t>价</t>
    </r>
    <r>
      <rPr>
        <sz val="10.5"/>
        <color theme="1"/>
        <rFont val="Times New Roman"/>
        <charset val="134"/>
      </rPr>
      <t xml:space="preserve"> (</t>
    </r>
    <r>
      <rPr>
        <sz val="10.5"/>
        <color theme="1"/>
        <rFont val="宋体"/>
        <charset val="134"/>
      </rPr>
      <t>万元</t>
    </r>
    <r>
      <rPr>
        <sz val="10.5"/>
        <color theme="1"/>
        <rFont val="Times New Roman"/>
        <charset val="134"/>
      </rPr>
      <t>)</t>
    </r>
  </si>
  <si>
    <r>
      <rPr>
        <sz val="10.5"/>
        <color theme="1"/>
        <rFont val="宋体"/>
        <charset val="134"/>
      </rPr>
      <t>占总投资额（</t>
    </r>
    <r>
      <rPr>
        <sz val="10.5"/>
        <color theme="1"/>
        <rFont val="Times New Roman"/>
        <charset val="134"/>
      </rPr>
      <t>%</t>
    </r>
    <r>
      <rPr>
        <sz val="10.5"/>
        <color theme="1"/>
        <rFont val="宋体"/>
        <charset val="134"/>
      </rPr>
      <t>）</t>
    </r>
  </si>
  <si>
    <t>备注</t>
  </si>
  <si>
    <r>
      <rPr>
        <sz val="10.5"/>
        <color theme="1"/>
        <rFont val="宋体"/>
        <charset val="134"/>
      </rPr>
      <t>建筑安装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宋体"/>
        <charset val="134"/>
      </rPr>
      <t>工程费</t>
    </r>
  </si>
  <si>
    <t>设备购置费</t>
  </si>
  <si>
    <t>其他费用</t>
  </si>
  <si>
    <t>合计</t>
  </si>
  <si>
    <t>一</t>
  </si>
  <si>
    <t>建安工程费用</t>
  </si>
  <si>
    <t>户内（低压）燃气管道安全专项整改</t>
  </si>
  <si>
    <t>螺纹阀门</t>
  </si>
  <si>
    <t>安全监测装置</t>
  </si>
  <si>
    <r>
      <rPr>
        <sz val="8"/>
        <color theme="1"/>
        <rFont val="宋体"/>
        <charset val="134"/>
      </rPr>
      <t>软接头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软管</t>
    </r>
    <r>
      <rPr>
        <sz val="8"/>
        <color theme="1"/>
        <rFont val="Times New Roman"/>
        <charset val="134"/>
      </rPr>
      <t>)</t>
    </r>
  </si>
  <si>
    <t>管卡</t>
  </si>
  <si>
    <t>拆除旧波纹管</t>
  </si>
  <si>
    <t>地上（低压）燃气管道专项整改</t>
  </si>
  <si>
    <t>镀锌钢管</t>
  </si>
  <si>
    <t>活接</t>
  </si>
  <si>
    <t>丝堵</t>
  </si>
  <si>
    <t>管道支架</t>
  </si>
  <si>
    <t>埋地管（低压）专项整改</t>
  </si>
  <si>
    <t>塑料管</t>
  </si>
  <si>
    <t>调压箱、调压装置</t>
  </si>
  <si>
    <t>标志板</t>
  </si>
  <si>
    <t>电熔套筒</t>
  </si>
  <si>
    <r>
      <rPr>
        <sz val="8"/>
        <color theme="1"/>
        <rFont val="宋体"/>
        <charset val="134"/>
      </rPr>
      <t>金属示踪线</t>
    </r>
    <r>
      <rPr>
        <sz val="8"/>
        <color theme="1"/>
        <rFont val="Times New Roman"/>
        <charset val="134"/>
      </rPr>
      <t>14AWG</t>
    </r>
  </si>
  <si>
    <r>
      <rPr>
        <sz val="8"/>
        <color theme="1"/>
        <rFont val="Times New Roman"/>
        <charset val="134"/>
      </rPr>
      <t>PE</t>
    </r>
    <r>
      <rPr>
        <sz val="8"/>
        <color theme="1"/>
        <rFont val="宋体"/>
        <charset val="134"/>
      </rPr>
      <t>警示板</t>
    </r>
    <r>
      <rPr>
        <sz val="8"/>
        <color theme="1"/>
        <rFont val="Times New Roman"/>
        <charset val="134"/>
      </rPr>
      <t>1000mm×300mm×5mm</t>
    </r>
  </si>
  <si>
    <t>拆除路面</t>
  </si>
  <si>
    <t>余方弃置</t>
  </si>
  <si>
    <t>水泥混凝土</t>
  </si>
  <si>
    <t>粘层</t>
  </si>
  <si>
    <t>沥青混凝土</t>
  </si>
  <si>
    <t>透层、粘层</t>
  </si>
  <si>
    <t>管沟土方</t>
  </si>
  <si>
    <t>填方</t>
  </si>
  <si>
    <t>未通燃气小区管道建设（瓶改管）</t>
  </si>
  <si>
    <t>燃气表</t>
  </si>
  <si>
    <t>镀锌三通</t>
  </si>
  <si>
    <t>智能安全监测设施设备更新</t>
  </si>
  <si>
    <t>措施费</t>
  </si>
  <si>
    <t>二</t>
  </si>
  <si>
    <t>工程建设其他费</t>
  </si>
  <si>
    <t>建设单位管理费</t>
  </si>
  <si>
    <r>
      <rPr>
        <sz val="8"/>
        <color theme="1"/>
        <rFont val="宋体"/>
        <charset val="134"/>
      </rPr>
      <t>财建</t>
    </r>
    <r>
      <rPr>
        <sz val="8"/>
        <color theme="1"/>
        <rFont val="Times New Roman"/>
        <charset val="134"/>
      </rPr>
      <t xml:space="preserve">[2016]504 </t>
    </r>
    <r>
      <rPr>
        <sz val="8"/>
        <color theme="1"/>
        <rFont val="宋体"/>
        <charset val="134"/>
      </rPr>
      <t>号</t>
    </r>
  </si>
  <si>
    <t>建设工程交易服务费</t>
  </si>
  <si>
    <t>福建省建设工程交易服务收费标准</t>
  </si>
  <si>
    <t>招标代理服务费</t>
  </si>
  <si>
    <r>
      <rPr>
        <sz val="8"/>
        <color theme="1"/>
        <rFont val="宋体"/>
        <charset val="134"/>
      </rPr>
      <t>闽招协</t>
    </r>
    <r>
      <rPr>
        <sz val="8"/>
        <color theme="1"/>
        <rFont val="Times New Roman"/>
        <charset val="134"/>
      </rPr>
      <t>[2021]32</t>
    </r>
    <r>
      <rPr>
        <sz val="8"/>
        <color theme="1"/>
        <rFont val="宋体"/>
        <charset val="134"/>
      </rPr>
      <t>号</t>
    </r>
  </si>
  <si>
    <t>建设工程监理费</t>
  </si>
  <si>
    <r>
      <rPr>
        <b/>
        <sz val="8"/>
        <color theme="1"/>
        <rFont val="宋体"/>
        <charset val="134"/>
      </rPr>
      <t>改价格</t>
    </r>
    <r>
      <rPr>
        <b/>
        <sz val="8"/>
        <color theme="1"/>
        <rFont val="Times New Roman"/>
        <charset val="134"/>
      </rPr>
      <t>[2007]670</t>
    </r>
    <r>
      <rPr>
        <b/>
        <sz val="8"/>
        <color theme="1"/>
        <rFont val="宋体"/>
        <charset val="134"/>
      </rPr>
      <t>号</t>
    </r>
  </si>
  <si>
    <t>工程造价咨询费</t>
  </si>
  <si>
    <r>
      <rPr>
        <sz val="8"/>
        <color theme="1"/>
        <rFont val="Times New Roman"/>
        <charset val="134"/>
      </rPr>
      <t>2021</t>
    </r>
    <r>
      <rPr>
        <sz val="8"/>
        <color theme="1"/>
        <rFont val="宋体"/>
        <charset val="134"/>
      </rPr>
      <t>）</t>
    </r>
    <r>
      <rPr>
        <sz val="8"/>
        <color theme="1"/>
        <rFont val="Times New Roman"/>
        <charset val="134"/>
      </rPr>
      <t>32</t>
    </r>
    <r>
      <rPr>
        <sz val="8"/>
        <color theme="1"/>
        <rFont val="宋体"/>
        <charset val="134"/>
      </rPr>
      <t>号</t>
    </r>
  </si>
  <si>
    <t>可行性研究费</t>
  </si>
  <si>
    <t>勘察费</t>
  </si>
  <si>
    <r>
      <rPr>
        <sz val="8"/>
        <color theme="1"/>
        <rFont val="宋体"/>
        <charset val="134"/>
      </rPr>
      <t>计价格</t>
    </r>
    <r>
      <rPr>
        <sz val="8"/>
        <color theme="1"/>
        <rFont val="Times New Roman"/>
        <charset val="134"/>
      </rPr>
      <t>[2002]10</t>
    </r>
    <r>
      <rPr>
        <sz val="8"/>
        <color theme="1"/>
        <rFont val="宋体"/>
        <charset val="134"/>
      </rPr>
      <t>号</t>
    </r>
  </si>
  <si>
    <t>设计费</t>
  </si>
  <si>
    <t>施工图设计审查费</t>
  </si>
  <si>
    <r>
      <rPr>
        <sz val="8"/>
        <color theme="1"/>
        <rFont val="宋体"/>
        <charset val="134"/>
      </rPr>
      <t>闽价服〔</t>
    </r>
    <r>
      <rPr>
        <sz val="8"/>
        <color theme="1"/>
        <rFont val="Times New Roman"/>
        <charset val="134"/>
      </rPr>
      <t>2012</t>
    </r>
    <r>
      <rPr>
        <sz val="8"/>
        <color theme="1"/>
        <rFont val="宋体"/>
        <charset val="134"/>
      </rPr>
      <t>〕</t>
    </r>
    <r>
      <rPr>
        <sz val="8"/>
        <color theme="1"/>
        <rFont val="Times New Roman"/>
        <charset val="134"/>
      </rPr>
      <t>237</t>
    </r>
    <r>
      <rPr>
        <sz val="8"/>
        <color theme="1"/>
        <rFont val="宋体"/>
        <charset val="134"/>
      </rPr>
      <t>号</t>
    </r>
  </si>
  <si>
    <t>场地准备及临时设备费</t>
  </si>
  <si>
    <t>工程保险费</t>
  </si>
  <si>
    <t>三</t>
  </si>
  <si>
    <t>基本预备费</t>
  </si>
  <si>
    <r>
      <rPr>
        <sz val="8"/>
        <color theme="1"/>
        <rFont val="宋体"/>
        <charset val="134"/>
      </rPr>
      <t>（</t>
    </r>
    <r>
      <rPr>
        <sz val="8"/>
        <color theme="1"/>
        <rFont val="Times New Roman"/>
        <charset val="134"/>
      </rPr>
      <t>(</t>
    </r>
    <r>
      <rPr>
        <sz val="8"/>
        <color theme="1"/>
        <rFont val="宋体"/>
        <charset val="134"/>
      </rPr>
      <t>一）</t>
    </r>
    <r>
      <rPr>
        <sz val="8"/>
        <color theme="1"/>
        <rFont val="Times New Roman"/>
        <charset val="134"/>
      </rPr>
      <t>+</t>
    </r>
    <r>
      <rPr>
        <sz val="8"/>
        <color theme="1"/>
        <rFont val="宋体"/>
        <charset val="134"/>
      </rPr>
      <t>（二</t>
    </r>
    <r>
      <rPr>
        <sz val="8"/>
        <color theme="1"/>
        <rFont val="Times New Roman"/>
        <charset val="134"/>
      </rPr>
      <t>)</t>
    </r>
    <r>
      <rPr>
        <sz val="8"/>
        <color theme="1"/>
        <rFont val="宋体"/>
        <charset val="134"/>
      </rPr>
      <t>）</t>
    </r>
    <r>
      <rPr>
        <sz val="8"/>
        <color theme="1"/>
        <rFont val="Times New Roman"/>
        <charset val="134"/>
      </rPr>
      <t>*5%</t>
    </r>
  </si>
  <si>
    <t>四</t>
  </si>
  <si>
    <t>项目总投资合计</t>
  </si>
  <si>
    <t>二类费用计算表</t>
  </si>
  <si>
    <t>费用名称</t>
  </si>
  <si>
    <r>
      <rPr>
        <sz val="9"/>
        <rFont val="宋体"/>
        <charset val="134"/>
      </rPr>
      <t>取费基数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)</t>
    </r>
  </si>
  <si>
    <t>基价</t>
  </si>
  <si>
    <t>调整系数</t>
  </si>
  <si>
    <t>费用(万元)</t>
  </si>
  <si>
    <t>建安费由审核表转入</t>
  </si>
  <si>
    <t>前期费用</t>
  </si>
  <si>
    <t>项目建议书编制</t>
  </si>
  <si>
    <r>
      <rPr>
        <sz val="9"/>
        <rFont val="宋体"/>
        <charset val="134"/>
      </rPr>
      <t>调整系数参考：计价格【</t>
    </r>
    <r>
      <rPr>
        <sz val="9"/>
        <rFont val="Times New Roman"/>
        <charset val="134"/>
      </rPr>
      <t>1999</t>
    </r>
    <r>
      <rPr>
        <sz val="9"/>
        <rFont val="宋体"/>
        <charset val="134"/>
      </rPr>
      <t>】</t>
    </r>
    <r>
      <rPr>
        <sz val="9"/>
        <rFont val="Times New Roman"/>
        <charset val="134"/>
      </rPr>
      <t>1283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 P56</t>
    </r>
  </si>
  <si>
    <t>工可编制</t>
  </si>
  <si>
    <t>项目建议书评估</t>
  </si>
  <si>
    <t>工可评估</t>
  </si>
  <si>
    <t>该三项费用由其他表转入</t>
  </si>
  <si>
    <t>监理费</t>
  </si>
  <si>
    <t>施工文件审查费</t>
  </si>
  <si>
    <t>市政</t>
  </si>
  <si>
    <r>
      <rPr>
        <sz val="9"/>
        <rFont val="Times New Roman"/>
        <charset val="134"/>
      </rPr>
      <t>A</t>
    </r>
    <r>
      <rPr>
        <sz val="9"/>
        <rFont val="宋体"/>
        <charset val="134"/>
      </rPr>
      <t>≤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m</t>
    </r>
    <r>
      <rPr>
        <vertAlign val="superscript"/>
        <sz val="9"/>
        <rFont val="Times New Roman"/>
        <charset val="134"/>
      </rPr>
      <t>2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</si>
  <si>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＜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≤</t>
    </r>
    <r>
      <rPr>
        <sz val="9"/>
        <rFont val="Times New Roman"/>
        <charset val="134"/>
      </rPr>
      <t>5</t>
    </r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</si>
  <si>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＜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≤</t>
    </r>
    <r>
      <rPr>
        <sz val="9"/>
        <rFont val="Times New Roman"/>
        <charset val="134"/>
      </rPr>
      <t>10</t>
    </r>
  </si>
  <si>
    <r>
      <rPr>
        <sz val="9"/>
        <rFont val="Times New Roman"/>
        <charset val="134"/>
      </rPr>
      <t>10</t>
    </r>
    <r>
      <rPr>
        <sz val="9"/>
        <rFont val="宋体"/>
        <charset val="134"/>
      </rPr>
      <t>＜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≤</t>
    </r>
    <r>
      <rPr>
        <sz val="9"/>
        <rFont val="Times New Roman"/>
        <charset val="134"/>
      </rPr>
      <t>20</t>
    </r>
  </si>
  <si>
    <r>
      <rPr>
        <sz val="9"/>
        <rFont val="Times New Roman"/>
        <charset val="134"/>
      </rPr>
      <t>A</t>
    </r>
    <r>
      <rPr>
        <sz val="9"/>
        <rFont val="宋体"/>
        <charset val="134"/>
      </rPr>
      <t>＞</t>
    </r>
    <r>
      <rPr>
        <sz val="9"/>
        <rFont val="Times New Roman"/>
        <charset val="134"/>
      </rPr>
      <t>20</t>
    </r>
  </si>
  <si>
    <t>建筑（居住以外）</t>
  </si>
  <si>
    <t>居住工程按建筑面积</t>
  </si>
  <si>
    <r>
      <rPr>
        <sz val="9"/>
        <rFont val="Times New Roman"/>
        <charset val="134"/>
      </rPr>
      <t>1.9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/m</t>
    </r>
    <r>
      <rPr>
        <vertAlign val="superscript"/>
        <sz val="9"/>
        <rFont val="Times New Roman"/>
        <charset val="134"/>
      </rPr>
      <t>2</t>
    </r>
  </si>
  <si>
    <t xml:space="preserve">招标代理服务费（不含工程量清单、标底、控制价编制费）
</t>
  </si>
  <si>
    <t>工程招标</t>
  </si>
  <si>
    <t>监理招标</t>
  </si>
  <si>
    <t>设计招标</t>
  </si>
  <si>
    <t>勘察招标</t>
  </si>
  <si>
    <t>施工图清单与预算编制费</t>
  </si>
  <si>
    <t>土建及配套安装</t>
  </si>
  <si>
    <r>
      <rPr>
        <sz val="9"/>
        <rFont val="宋体"/>
        <charset val="134"/>
      </rPr>
      <t>费用不足</t>
    </r>
    <r>
      <rPr>
        <sz val="9"/>
        <rFont val="Times New Roman"/>
        <charset val="134"/>
      </rPr>
      <t>1000</t>
    </r>
    <r>
      <rPr>
        <sz val="9"/>
        <rFont val="宋体"/>
        <charset val="134"/>
      </rPr>
      <t>按</t>
    </r>
    <r>
      <rPr>
        <sz val="9"/>
        <rFont val="Times New Roman"/>
        <charset val="134"/>
      </rPr>
      <t>1000</t>
    </r>
  </si>
  <si>
    <t>专项安装、二次装饰、园林绿化</t>
  </si>
  <si>
    <t>水土保持方案编制费</t>
  </si>
  <si>
    <t>主体土建工程投资</t>
  </si>
  <si>
    <r>
      <rPr>
        <sz val="9"/>
        <rFont val="宋体"/>
        <charset val="134"/>
      </rPr>
      <t>凡征占地在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万平方米以上或挖填土石方总量在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万立方米以上的开发建设项目，需编报水土保持方案报告书；凡征占地在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万以上、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万以下平方米或挖填土石方总量在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万以上、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万以下立方米的开发建设项目，需编报水土保持方案报告表。</t>
    </r>
  </si>
  <si>
    <t>节能专篇编制及评估费</t>
  </si>
  <si>
    <t>节能专篇编制</t>
  </si>
  <si>
    <t>3~5</t>
  </si>
  <si>
    <t>节能专篇评估费</t>
  </si>
  <si>
    <t>环评费</t>
  </si>
  <si>
    <t>报告书</t>
  </si>
  <si>
    <r>
      <rPr>
        <sz val="9"/>
        <rFont val="宋体"/>
        <charset val="134"/>
      </rPr>
      <t>行业调整系数参考：计价格【</t>
    </r>
    <r>
      <rPr>
        <sz val="9"/>
        <rFont val="Times New Roman"/>
        <charset val="134"/>
      </rPr>
      <t>2002</t>
    </r>
    <r>
      <rPr>
        <sz val="9"/>
        <rFont val="宋体"/>
        <charset val="134"/>
      </rPr>
      <t>】</t>
    </r>
    <r>
      <rPr>
        <sz val="9"/>
        <rFont val="Times New Roman"/>
        <charset val="134"/>
      </rPr>
      <t>125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 P64</t>
    </r>
    <r>
      <rPr>
        <sz val="9"/>
        <rFont val="宋体"/>
        <charset val="134"/>
      </rPr>
      <t>表</t>
    </r>
    <r>
      <rPr>
        <sz val="9"/>
        <rFont val="Times New Roman"/>
        <charset val="134"/>
      </rPr>
      <t>1</t>
    </r>
  </si>
  <si>
    <t>报告表</t>
  </si>
  <si>
    <r>
      <rPr>
        <sz val="9"/>
        <rFont val="宋体"/>
        <charset val="134"/>
      </rPr>
      <t>敏感</t>
    </r>
    <r>
      <rPr>
        <sz val="9"/>
        <rFont val="Times New Roman"/>
        <charset val="134"/>
      </rPr>
      <t>1.2</t>
    </r>
    <r>
      <rPr>
        <sz val="9"/>
        <rFont val="宋体"/>
        <charset val="134"/>
      </rPr>
      <t>；一般</t>
    </r>
    <r>
      <rPr>
        <sz val="9"/>
        <rFont val="Times New Roman"/>
        <charset val="134"/>
      </rPr>
      <t>0.8</t>
    </r>
  </si>
  <si>
    <t>水利工程前期勘察费</t>
  </si>
  <si>
    <t>地质灾害评价费</t>
  </si>
  <si>
    <r>
      <rPr>
        <sz val="9"/>
        <rFont val="Times New Roman"/>
        <charset val="134"/>
      </rPr>
      <t>10~20</t>
    </r>
    <r>
      <rPr>
        <sz val="9"/>
        <rFont val="宋体"/>
        <charset val="134"/>
      </rPr>
      <t>万</t>
    </r>
  </si>
  <si>
    <t>在地质灾害易发区内</t>
  </si>
  <si>
    <t>防洪影响评价费</t>
  </si>
  <si>
    <t>仅对影响河道行洪安全的建筑物项目计取。参照工可编制类取费。</t>
  </si>
  <si>
    <t>小区</t>
  </si>
  <si>
    <t>多层建筑（含统建、解困、安置房）</t>
  </si>
  <si>
    <t>高层</t>
  </si>
  <si>
    <t>分段收费</t>
  </si>
  <si>
    <t>清淤及吹填</t>
  </si>
  <si>
    <r>
      <rPr>
        <sz val="9"/>
        <rFont val="宋体"/>
        <charset val="134"/>
      </rPr>
      <t>大桥（总长</t>
    </r>
    <r>
      <rPr>
        <sz val="9"/>
        <rFont val="Times New Roman"/>
        <charset val="134"/>
      </rPr>
      <t>&gt;100</t>
    </r>
    <r>
      <rPr>
        <sz val="9"/>
        <rFont val="宋体"/>
        <charset val="134"/>
      </rPr>
      <t>且单跨</t>
    </r>
    <r>
      <rPr>
        <sz val="9"/>
        <rFont val="Times New Roman"/>
        <charset val="134"/>
      </rPr>
      <t>&gt;30</t>
    </r>
    <r>
      <rPr>
        <sz val="9"/>
        <rFont val="宋体"/>
        <charset val="134"/>
      </rPr>
      <t>米）隧道</t>
    </r>
  </si>
  <si>
    <t>重大项目（&gt;50亿）</t>
  </si>
  <si>
    <t>面议</t>
  </si>
  <si>
    <t>测量费</t>
  </si>
  <si>
    <t>快速路</t>
  </si>
  <si>
    <r>
      <rPr>
        <sz val="9"/>
        <rFont val="Times New Roman"/>
        <charset val="134"/>
      </rPr>
      <t>8.07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公里</t>
    </r>
  </si>
  <si>
    <t>桥梁隧道</t>
  </si>
  <si>
    <t>2~3</t>
  </si>
  <si>
    <t>主干道</t>
  </si>
  <si>
    <r>
      <rPr>
        <sz val="9"/>
        <rFont val="Times New Roman"/>
        <charset val="134"/>
      </rPr>
      <t>6.71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公里</t>
    </r>
  </si>
  <si>
    <t>一般互通式立交</t>
  </si>
  <si>
    <t>次干道和支路</t>
  </si>
  <si>
    <r>
      <rPr>
        <sz val="9"/>
        <rFont val="Times New Roman"/>
        <charset val="134"/>
      </rPr>
      <t>3.42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公里</t>
    </r>
  </si>
  <si>
    <t>枢纽型互通式立交</t>
  </si>
  <si>
    <t>3~4</t>
  </si>
  <si>
    <t>建筑、人防、市政公用工程</t>
  </si>
  <si>
    <t>邮政、电信、广播电视工程</t>
  </si>
  <si>
    <t>设计费计算表</t>
  </si>
  <si>
    <t>分项名称</t>
  </si>
  <si>
    <r>
      <rPr>
        <sz val="12"/>
        <rFont val="宋体"/>
        <charset val="134"/>
      </rPr>
      <t>工程造价</t>
    </r>
    <r>
      <rPr>
        <sz val="12"/>
        <rFont val="Times New Roman"/>
        <charset val="134"/>
      </rPr>
      <t xml:space="preserve">    (</t>
    </r>
    <r>
      <rPr>
        <sz val="12"/>
        <rFont val="宋体"/>
        <charset val="134"/>
      </rPr>
      <t>万元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</si>
  <si>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设计费基价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万元</t>
    </r>
    <r>
      <rPr>
        <sz val="12"/>
        <rFont val="Times New Roman"/>
        <charset val="134"/>
      </rPr>
      <t>)</t>
    </r>
  </si>
  <si>
    <t>专业调整系数</t>
  </si>
  <si>
    <t>复杂程度   调整系数</t>
  </si>
  <si>
    <t>附加调整系数</t>
  </si>
  <si>
    <t>折减系数</t>
  </si>
  <si>
    <r>
      <rPr>
        <sz val="12"/>
        <rFont val="宋体"/>
        <charset val="134"/>
      </rPr>
      <t>设计费</t>
    </r>
    <r>
      <rPr>
        <sz val="12"/>
        <rFont val="Times New Roman"/>
        <charset val="134"/>
      </rPr>
      <t xml:space="preserve">        (</t>
    </r>
    <r>
      <rPr>
        <sz val="12"/>
        <rFont val="宋体"/>
        <charset val="134"/>
      </rPr>
      <t>万元</t>
    </r>
    <r>
      <rPr>
        <sz val="12"/>
        <rFont val="Times New Roman"/>
        <charset val="134"/>
      </rPr>
      <t>)</t>
    </r>
  </si>
  <si>
    <t>道路工程</t>
  </si>
  <si>
    <t>涵洞工程</t>
  </si>
  <si>
    <t>交通工程</t>
  </si>
  <si>
    <t>智能交通工程</t>
  </si>
  <si>
    <t>给水工程</t>
  </si>
  <si>
    <t>再生水工程</t>
  </si>
  <si>
    <t>雨水工程</t>
  </si>
  <si>
    <t>污水工程</t>
  </si>
  <si>
    <t>电力工程（土建）</t>
  </si>
  <si>
    <t>电信工程（土建）</t>
  </si>
  <si>
    <t>照明工程</t>
  </si>
  <si>
    <t>绿化工程</t>
  </si>
  <si>
    <t>建安费用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</si>
</sst>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177" formatCode="0.0_ "/>
    <numFmt numFmtId="178" formatCode="0.00_);[Red]\(0.00\)"/>
    <numFmt numFmtId="179" formatCode="0.00;[Red]0.00"/>
    <numFmt numFmtId="180" formatCode="0.000_ "/>
    <numFmt numFmtId="181" formatCode="0.00_);\(0.00\)"/>
  </numFmts>
  <fonts count="57">
    <font>
      <sz val="11"/>
      <color theme="1"/>
      <name val="Tahoma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b/>
      <sz val="12"/>
      <color indexed="8"/>
      <name val="Times New Roman"/>
      <charset val="134"/>
    </font>
    <font>
      <sz val="10"/>
      <color indexed="20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b/>
      <sz val="14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color rgb="FFFF0000"/>
      <name val="Times New Roman"/>
      <charset val="134"/>
    </font>
    <font>
      <b/>
      <sz val="9"/>
      <color rgb="FFFF0000"/>
      <name val="宋体"/>
      <charset val="134"/>
    </font>
    <font>
      <b/>
      <sz val="9"/>
      <color rgb="FFFF0000"/>
      <name val="Times New Roman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8"/>
      <color theme="1"/>
      <name val="Times New Roman"/>
      <charset val="134"/>
    </font>
    <font>
      <sz val="8"/>
      <name val="Times New Roman"/>
      <charset val="134"/>
    </font>
    <font>
      <sz val="11"/>
      <color theme="1"/>
      <name val="Times New Roman"/>
      <charset val="134"/>
    </font>
    <font>
      <b/>
      <sz val="20"/>
      <color theme="1"/>
      <name val="等线"/>
      <charset val="134"/>
    </font>
    <font>
      <b/>
      <sz val="20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8"/>
      <color theme="1"/>
      <name val="宋体"/>
      <charset val="134"/>
    </font>
    <font>
      <b/>
      <sz val="8"/>
      <color theme="1"/>
      <name val="宋体"/>
      <charset val="134"/>
    </font>
    <font>
      <b/>
      <sz val="8"/>
      <color theme="1"/>
      <name val="Times New Roman"/>
      <charset val="134"/>
    </font>
    <font>
      <b/>
      <sz val="8"/>
      <color theme="1"/>
      <name val="SimSun"/>
      <charset val="134"/>
    </font>
    <font>
      <b/>
      <sz val="8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Calibri"/>
      <charset val="134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vertAlign val="superscript"/>
      <sz val="9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39" fillId="0" borderId="0" applyFont="0" applyFill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51" fillId="24" borderId="16" applyNumberFormat="0" applyAlignment="0" applyProtection="0">
      <alignment vertical="center"/>
    </xf>
    <xf numFmtId="44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0" fontId="39" fillId="16" borderId="13" applyNumberFormat="0" applyFont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15" borderId="12" applyNumberFormat="0" applyAlignment="0" applyProtection="0">
      <alignment vertical="center"/>
    </xf>
    <xf numFmtId="0" fontId="53" fillId="15" borderId="16" applyNumberFormat="0" applyAlignment="0" applyProtection="0">
      <alignment vertical="center"/>
    </xf>
    <xf numFmtId="0" fontId="36" fillId="6" borderId="10" applyNumberFormat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0" fillId="21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5" fillId="0" borderId="0"/>
    <xf numFmtId="0" fontId="44" fillId="12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2" fillId="0" borderId="0"/>
  </cellStyleXfs>
  <cellXfs count="156">
    <xf numFmtId="0" fontId="0" fillId="0" borderId="0" xfId="0">
      <alignment vertical="center"/>
    </xf>
    <xf numFmtId="0" fontId="1" fillId="0" borderId="0" xfId="55" applyFont="1"/>
    <xf numFmtId="0" fontId="2" fillId="0" borderId="0" xfId="55" applyFont="1" applyAlignment="1">
      <alignment horizontal="center" vertical="center" wrapText="1"/>
    </xf>
    <xf numFmtId="0" fontId="2" fillId="0" borderId="0" xfId="55" applyFont="1" applyAlignment="1">
      <alignment vertical="center"/>
    </xf>
    <xf numFmtId="0" fontId="1" fillId="0" borderId="0" xfId="55" applyFont="1" applyAlignment="1">
      <alignment vertical="center"/>
    </xf>
    <xf numFmtId="0" fontId="3" fillId="0" borderId="0" xfId="55" applyFont="1" applyAlignment="1">
      <alignment horizontal="center"/>
    </xf>
    <xf numFmtId="0" fontId="3" fillId="0" borderId="0" xfId="55" applyFont="1"/>
    <xf numFmtId="0" fontId="4" fillId="0" borderId="1" xfId="55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5" fillId="0" borderId="2" xfId="55" applyBorder="1" applyAlignment="1">
      <alignment horizontal="center" vertical="center" wrapText="1"/>
    </xf>
    <xf numFmtId="0" fontId="6" fillId="0" borderId="2" xfId="55" applyFont="1" applyBorder="1" applyAlignment="1">
      <alignment horizontal="center" vertical="center" wrapText="1"/>
    </xf>
    <xf numFmtId="0" fontId="2" fillId="0" borderId="2" xfId="55" applyFont="1" applyBorder="1" applyAlignment="1">
      <alignment horizontal="center" vertical="center"/>
    </xf>
    <xf numFmtId="0" fontId="5" fillId="0" borderId="2" xfId="55" applyBorder="1" applyAlignment="1">
      <alignment vertical="center"/>
    </xf>
    <xf numFmtId="2" fontId="2" fillId="0" borderId="2" xfId="55" applyNumberFormat="1" applyFont="1" applyBorder="1" applyAlignment="1">
      <alignment horizontal="right" vertical="center"/>
    </xf>
    <xf numFmtId="0" fontId="2" fillId="0" borderId="2" xfId="55" applyFont="1" applyBorder="1" applyAlignment="1">
      <alignment horizontal="right" vertical="center"/>
    </xf>
    <xf numFmtId="177" fontId="2" fillId="0" borderId="2" xfId="55" applyNumberFormat="1" applyFont="1" applyBorder="1" applyAlignment="1">
      <alignment horizontal="right" vertical="center"/>
    </xf>
    <xf numFmtId="176" fontId="7" fillId="0" borderId="2" xfId="55" applyNumberFormat="1" applyFont="1" applyBorder="1" applyAlignment="1">
      <alignment horizontal="right" vertical="center"/>
    </xf>
    <xf numFmtId="176" fontId="2" fillId="0" borderId="2" xfId="55" applyNumberFormat="1" applyFont="1" applyBorder="1" applyAlignment="1">
      <alignment horizontal="right" vertical="center"/>
    </xf>
    <xf numFmtId="176" fontId="8" fillId="0" borderId="2" xfId="55" applyNumberFormat="1" applyFont="1" applyBorder="1" applyAlignment="1">
      <alignment horizontal="right" vertical="center"/>
    </xf>
    <xf numFmtId="0" fontId="2" fillId="0" borderId="2" xfId="33" applyFont="1" applyBorder="1" applyAlignment="1">
      <alignment horizontal="center" vertical="center"/>
    </xf>
    <xf numFmtId="2" fontId="5" fillId="0" borderId="2" xfId="55" applyNumberFormat="1" applyFont="1" applyBorder="1" applyAlignment="1">
      <alignment horizontal="right" vertical="center"/>
    </xf>
    <xf numFmtId="0" fontId="4" fillId="0" borderId="2" xfId="55" applyFont="1" applyBorder="1" applyAlignment="1">
      <alignment horizontal="left" vertical="center"/>
    </xf>
    <xf numFmtId="176" fontId="1" fillId="0" borderId="2" xfId="55" applyNumberFormat="1" applyFont="1" applyBorder="1" applyAlignment="1">
      <alignment vertical="center"/>
    </xf>
    <xf numFmtId="0" fontId="1" fillId="0" borderId="2" xfId="55" applyFont="1" applyFill="1" applyBorder="1" applyAlignment="1">
      <alignment vertical="center"/>
    </xf>
    <xf numFmtId="0" fontId="1" fillId="0" borderId="2" xfId="55" applyFont="1" applyBorder="1" applyAlignment="1">
      <alignment vertical="center"/>
    </xf>
    <xf numFmtId="0" fontId="9" fillId="0" borderId="2" xfId="55" applyFont="1" applyBorder="1" applyAlignment="1">
      <alignment vertical="center"/>
    </xf>
    <xf numFmtId="0" fontId="5" fillId="0" borderId="2" xfId="55" applyFont="1" applyBorder="1" applyAlignment="1">
      <alignment vertical="center"/>
    </xf>
    <xf numFmtId="0" fontId="10" fillId="0" borderId="0" xfId="55" applyFont="1"/>
    <xf numFmtId="0" fontId="3" fillId="0" borderId="0" xfId="55" applyFont="1" applyAlignment="1">
      <alignment horizontal="left"/>
    </xf>
    <xf numFmtId="0" fontId="11" fillId="0" borderId="0" xfId="55" applyFont="1"/>
    <xf numFmtId="0" fontId="12" fillId="0" borderId="0" xfId="55" applyFont="1" applyAlignment="1">
      <alignment horizontal="left"/>
    </xf>
    <xf numFmtId="0" fontId="12" fillId="0" borderId="0" xfId="55" applyFont="1"/>
    <xf numFmtId="0" fontId="11" fillId="0" borderId="0" xfId="55" applyFont="1" applyAlignment="1">
      <alignment horizontal="left"/>
    </xf>
    <xf numFmtId="0" fontId="3" fillId="0" borderId="0" xfId="55" applyFont="1" applyAlignment="1">
      <alignment horizontal="center" vertical="center" wrapText="1"/>
    </xf>
    <xf numFmtId="0" fontId="3" fillId="0" borderId="0" xfId="55" applyFont="1" applyAlignment="1">
      <alignment vertical="center"/>
    </xf>
    <xf numFmtId="10" fontId="2" fillId="0" borderId="0" xfId="11" applyNumberFormat="1" applyFont="1" applyAlignment="1">
      <alignment vertical="center"/>
    </xf>
    <xf numFmtId="0" fontId="5" fillId="0" borderId="0" xfId="55" applyAlignment="1">
      <alignment horizontal="center" vertical="center"/>
    </xf>
    <xf numFmtId="0" fontId="13" fillId="0" borderId="0" xfId="56" applyFont="1"/>
    <xf numFmtId="0" fontId="14" fillId="0" borderId="0" xfId="56" applyFont="1" applyAlignment="1">
      <alignment horizontal="center" vertical="center" wrapText="1"/>
    </xf>
    <xf numFmtId="0" fontId="14" fillId="0" borderId="0" xfId="56" applyFont="1" applyAlignment="1">
      <alignment vertical="center"/>
    </xf>
    <xf numFmtId="0" fontId="14" fillId="0" borderId="0" xfId="56" applyFont="1" applyAlignment="1">
      <alignment horizontal="center"/>
    </xf>
    <xf numFmtId="0" fontId="14" fillId="0" borderId="0" xfId="56" applyFont="1"/>
    <xf numFmtId="0" fontId="15" fillId="0" borderId="1" xfId="56" applyFont="1" applyBorder="1" applyAlignment="1">
      <alignment horizontal="center"/>
    </xf>
    <xf numFmtId="0" fontId="16" fillId="0" borderId="2" xfId="56" applyFont="1" applyBorder="1" applyAlignment="1">
      <alignment horizontal="center" vertical="center" wrapText="1"/>
    </xf>
    <xf numFmtId="0" fontId="14" fillId="0" borderId="3" xfId="56" applyFont="1" applyBorder="1" applyAlignment="1">
      <alignment horizontal="center" vertical="center"/>
    </xf>
    <xf numFmtId="0" fontId="16" fillId="0" borderId="3" xfId="56" applyFont="1" applyBorder="1" applyAlignment="1">
      <alignment horizontal="center" vertical="center" wrapText="1"/>
    </xf>
    <xf numFmtId="0" fontId="16" fillId="0" borderId="2" xfId="56" applyFont="1" applyBorder="1" applyAlignment="1">
      <alignment horizontal="left" wrapText="1"/>
    </xf>
    <xf numFmtId="176" fontId="14" fillId="0" borderId="2" xfId="56" applyNumberFormat="1" applyFont="1" applyBorder="1" applyAlignment="1">
      <alignment horizontal="right" vertical="center"/>
    </xf>
    <xf numFmtId="178" fontId="14" fillId="0" borderId="2" xfId="56" applyNumberFormat="1" applyFont="1" applyBorder="1" applyAlignment="1">
      <alignment horizontal="right" vertical="center"/>
    </xf>
    <xf numFmtId="0" fontId="14" fillId="0" borderId="2" xfId="13" applyNumberFormat="1" applyFont="1" applyFill="1" applyBorder="1" applyAlignment="1">
      <alignment vertical="center"/>
    </xf>
    <xf numFmtId="0" fontId="14" fillId="0" borderId="2" xfId="56" applyFont="1" applyBorder="1" applyAlignment="1">
      <alignment vertical="center"/>
    </xf>
    <xf numFmtId="0" fontId="16" fillId="0" borderId="0" xfId="56" applyFont="1" applyAlignment="1">
      <alignment horizontal="center" vertical="center" wrapText="1"/>
    </xf>
    <xf numFmtId="0" fontId="14" fillId="0" borderId="4" xfId="56" applyFont="1" applyBorder="1" applyAlignment="1">
      <alignment horizontal="center" vertical="center"/>
    </xf>
    <xf numFmtId="0" fontId="16" fillId="0" borderId="4" xfId="56" applyFont="1" applyBorder="1" applyAlignment="1">
      <alignment horizontal="center" vertical="center" wrapText="1"/>
    </xf>
    <xf numFmtId="0" fontId="14" fillId="0" borderId="5" xfId="56" applyFont="1" applyBorder="1" applyAlignment="1">
      <alignment horizontal="center" vertical="center"/>
    </xf>
    <xf numFmtId="0" fontId="16" fillId="0" borderId="5" xfId="56" applyFont="1" applyBorder="1" applyAlignment="1">
      <alignment horizontal="center" vertical="center" wrapText="1"/>
    </xf>
    <xf numFmtId="0" fontId="14" fillId="0" borderId="2" xfId="56" applyFont="1" applyBorder="1" applyAlignment="1">
      <alignment horizontal="center" vertical="center"/>
    </xf>
    <xf numFmtId="0" fontId="17" fillId="0" borderId="0" xfId="56" applyFont="1" applyAlignment="1">
      <alignment horizontal="center" vertical="center" wrapText="1"/>
    </xf>
    <xf numFmtId="176" fontId="14" fillId="0" borderId="2" xfId="56" applyNumberFormat="1" applyFont="1" applyBorder="1" applyAlignment="1">
      <alignment vertical="center"/>
    </xf>
    <xf numFmtId="0" fontId="13" fillId="0" borderId="0" xfId="56" applyFont="1" applyAlignment="1">
      <alignment horizontal="center" vertical="center" wrapText="1"/>
    </xf>
    <xf numFmtId="0" fontId="16" fillId="0" borderId="2" xfId="56" applyFont="1" applyBorder="1" applyAlignment="1">
      <alignment horizontal="left" vertical="center" wrapText="1"/>
    </xf>
    <xf numFmtId="179" fontId="14" fillId="0" borderId="2" xfId="56" applyNumberFormat="1" applyFont="1" applyBorder="1" applyAlignment="1">
      <alignment horizontal="right" vertical="center"/>
    </xf>
    <xf numFmtId="0" fontId="16" fillId="0" borderId="0" xfId="56" applyFont="1" applyAlignment="1">
      <alignment vertical="center" wrapText="1"/>
    </xf>
    <xf numFmtId="0" fontId="16" fillId="0" borderId="3" xfId="56" applyFont="1" applyBorder="1" applyAlignment="1">
      <alignment horizontal="center" wrapText="1"/>
    </xf>
    <xf numFmtId="0" fontId="16" fillId="0" borderId="4" xfId="56" applyFont="1" applyBorder="1" applyAlignment="1">
      <alignment horizontal="center" wrapText="1"/>
    </xf>
    <xf numFmtId="180" fontId="14" fillId="0" borderId="2" xfId="56" applyNumberFormat="1" applyFont="1" applyBorder="1" applyAlignment="1">
      <alignment horizontal="right" vertical="center"/>
    </xf>
    <xf numFmtId="0" fontId="16" fillId="0" borderId="5" xfId="56" applyFont="1" applyBorder="1" applyAlignment="1">
      <alignment horizontal="center" wrapText="1"/>
    </xf>
    <xf numFmtId="0" fontId="17" fillId="0" borderId="2" xfId="56" applyFont="1" applyBorder="1" applyAlignment="1">
      <alignment horizontal="left" wrapText="1"/>
    </xf>
    <xf numFmtId="0" fontId="13" fillId="0" borderId="2" xfId="56" applyFont="1" applyBorder="1" applyAlignment="1">
      <alignment horizontal="right" vertical="center"/>
    </xf>
    <xf numFmtId="178" fontId="13" fillId="0" borderId="2" xfId="56" applyNumberFormat="1" applyFont="1" applyBorder="1" applyAlignment="1">
      <alignment horizontal="right" vertical="center"/>
    </xf>
    <xf numFmtId="0" fontId="13" fillId="0" borderId="2" xfId="13" applyNumberFormat="1" applyFont="1" applyFill="1" applyBorder="1" applyAlignment="1">
      <alignment vertical="center"/>
    </xf>
    <xf numFmtId="0" fontId="13" fillId="0" borderId="2" xfId="56" applyFont="1" applyBorder="1" applyAlignment="1">
      <alignment vertical="center"/>
    </xf>
    <xf numFmtId="0" fontId="17" fillId="0" borderId="2" xfId="56" applyFont="1" applyBorder="1" applyAlignment="1">
      <alignment horizontal="left" vertical="center" wrapText="1"/>
    </xf>
    <xf numFmtId="2" fontId="13" fillId="0" borderId="2" xfId="56" applyNumberFormat="1" applyFont="1" applyBorder="1" applyAlignment="1">
      <alignment horizontal="right" vertical="center"/>
    </xf>
    <xf numFmtId="0" fontId="16" fillId="0" borderId="6" xfId="56" applyFont="1" applyBorder="1" applyAlignment="1">
      <alignment horizontal="center" vertical="center" wrapText="1"/>
    </xf>
    <xf numFmtId="0" fontId="14" fillId="0" borderId="6" xfId="56" applyFont="1" applyBorder="1" applyAlignment="1">
      <alignment horizontal="center" vertical="center" wrapText="1"/>
    </xf>
    <xf numFmtId="0" fontId="16" fillId="0" borderId="0" xfId="56" applyFont="1" applyAlignment="1">
      <alignment vertical="center"/>
    </xf>
    <xf numFmtId="0" fontId="17" fillId="0" borderId="3" xfId="56" applyFont="1" applyBorder="1" applyAlignment="1">
      <alignment horizontal="center" wrapText="1"/>
    </xf>
    <xf numFmtId="0" fontId="17" fillId="0" borderId="5" xfId="56" applyFont="1" applyBorder="1" applyAlignment="1">
      <alignment horizontal="center" wrapText="1"/>
    </xf>
    <xf numFmtId="0" fontId="16" fillId="0" borderId="2" xfId="56" applyFont="1" applyBorder="1" applyAlignment="1">
      <alignment horizontal="right" wrapText="1"/>
    </xf>
    <xf numFmtId="0" fontId="14" fillId="0" borderId="2" xfId="56" applyFont="1" applyBorder="1" applyAlignment="1">
      <alignment horizontal="right" vertical="center"/>
    </xf>
    <xf numFmtId="0" fontId="16" fillId="0" borderId="0" xfId="56" applyFont="1"/>
    <xf numFmtId="0" fontId="14" fillId="0" borderId="2" xfId="56" applyFont="1" applyBorder="1" applyAlignment="1">
      <alignment horizontal="center"/>
    </xf>
    <xf numFmtId="0" fontId="16" fillId="0" borderId="2" xfId="56" applyFont="1" applyBorder="1" applyAlignment="1">
      <alignment horizontal="center"/>
    </xf>
    <xf numFmtId="0" fontId="14" fillId="0" borderId="2" xfId="56" applyFont="1" applyBorder="1"/>
    <xf numFmtId="0" fontId="16" fillId="0" borderId="0" xfId="56" applyFont="1" applyAlignment="1">
      <alignment horizontal="center" vertical="center"/>
    </xf>
    <xf numFmtId="0" fontId="16" fillId="0" borderId="0" xfId="56" applyFont="1" applyAlignment="1">
      <alignment wrapText="1"/>
    </xf>
    <xf numFmtId="9" fontId="14" fillId="0" borderId="0" xfId="56" applyNumberFormat="1" applyFont="1"/>
    <xf numFmtId="0" fontId="14" fillId="0" borderId="0" xfId="56" applyFont="1" applyAlignment="1">
      <alignment horizontal="center" vertical="center"/>
    </xf>
    <xf numFmtId="49" fontId="14" fillId="0" borderId="0" xfId="56" applyNumberFormat="1" applyFont="1" applyAlignment="1">
      <alignment horizontal="center"/>
    </xf>
    <xf numFmtId="0" fontId="14" fillId="0" borderId="4" xfId="57" applyFont="1" applyBorder="1" applyAlignment="1">
      <alignment horizontal="center" vertical="center" wrapText="1"/>
    </xf>
    <xf numFmtId="0" fontId="16" fillId="2" borderId="4" xfId="57" applyFont="1" applyFill="1" applyBorder="1" applyAlignment="1">
      <alignment horizontal="center" vertical="center" wrapText="1"/>
    </xf>
    <xf numFmtId="0" fontId="16" fillId="0" borderId="2" xfId="57" applyFont="1" applyBorder="1" applyAlignment="1">
      <alignment horizontal="left" vertical="center" wrapText="1"/>
    </xf>
    <xf numFmtId="0" fontId="18" fillId="2" borderId="2" xfId="57" applyFont="1" applyFill="1" applyBorder="1" applyAlignment="1">
      <alignment horizontal="center" vertical="center" wrapText="1"/>
    </xf>
    <xf numFmtId="178" fontId="14" fillId="0" borderId="2" xfId="57" applyNumberFormat="1" applyFont="1" applyBorder="1" applyAlignment="1">
      <alignment horizontal="right" vertical="center" wrapText="1"/>
    </xf>
    <xf numFmtId="177" fontId="14" fillId="0" borderId="2" xfId="57" applyNumberFormat="1" applyFont="1" applyBorder="1" applyAlignment="1">
      <alignment horizontal="center" vertical="center" wrapText="1"/>
    </xf>
    <xf numFmtId="176" fontId="14" fillId="0" borderId="2" xfId="57" applyNumberFormat="1" applyFont="1" applyBorder="1" applyAlignment="1">
      <alignment horizontal="right" vertical="center" wrapText="1"/>
    </xf>
    <xf numFmtId="0" fontId="14" fillId="0" borderId="5" xfId="57" applyFont="1" applyBorder="1" applyAlignment="1">
      <alignment horizontal="center" vertical="center" wrapText="1"/>
    </xf>
    <xf numFmtId="0" fontId="14" fillId="2" borderId="5" xfId="57" applyFont="1" applyFill="1" applyBorder="1" applyAlignment="1">
      <alignment horizontal="center" vertical="center" wrapText="1"/>
    </xf>
    <xf numFmtId="0" fontId="14" fillId="0" borderId="2" xfId="57" applyFont="1" applyBorder="1" applyAlignment="1">
      <alignment horizontal="left" vertical="center" wrapText="1"/>
    </xf>
    <xf numFmtId="0" fontId="14" fillId="0" borderId="2" xfId="57" applyFont="1" applyBorder="1" applyAlignment="1">
      <alignment horizontal="center" vertical="center" wrapText="1"/>
    </xf>
    <xf numFmtId="0" fontId="19" fillId="2" borderId="0" xfId="56" applyFont="1" applyFill="1" applyAlignment="1">
      <alignment horizontal="center" vertical="center" wrapText="1"/>
    </xf>
    <xf numFmtId="0" fontId="20" fillId="2" borderId="0" xfId="56" applyFont="1" applyFill="1" applyAlignment="1">
      <alignment vertical="center"/>
    </xf>
    <xf numFmtId="176" fontId="14" fillId="0" borderId="2" xfId="57" applyNumberFormat="1" applyFont="1" applyBorder="1" applyAlignment="1">
      <alignment horizontal="center" vertical="center" wrapText="1"/>
    </xf>
    <xf numFmtId="176" fontId="14" fillId="0" borderId="2" xfId="57" applyNumberFormat="1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176" fontId="32" fillId="0" borderId="5" xfId="0" applyNumberFormat="1" applyFont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176" fontId="32" fillId="0" borderId="5" xfId="0" applyNumberFormat="1" applyFont="1" applyBorder="1" applyAlignment="1">
      <alignment horizontal="center" vertical="center"/>
    </xf>
    <xf numFmtId="176" fontId="32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176" fontId="23" fillId="0" borderId="2" xfId="0" applyNumberFormat="1" applyFont="1" applyBorder="1" applyAlignment="1">
      <alignment horizontal="center" vertical="center"/>
    </xf>
    <xf numFmtId="0" fontId="30" fillId="0" borderId="2" xfId="58" applyNumberFormat="1" applyFont="1" applyBorder="1" applyAlignment="1">
      <alignment horizontal="center" vertical="center" wrapText="1"/>
    </xf>
    <xf numFmtId="2" fontId="23" fillId="0" borderId="2" xfId="58" applyNumberFormat="1" applyFont="1" applyBorder="1" applyAlignment="1">
      <alignment horizontal="center" vertical="center" wrapText="1" shrinkToFit="1"/>
    </xf>
    <xf numFmtId="0" fontId="31" fillId="0" borderId="2" xfId="0" applyFont="1" applyBorder="1" applyAlignment="1">
      <alignment horizontal="center" vertical="center"/>
    </xf>
    <xf numFmtId="181" fontId="23" fillId="0" borderId="2" xfId="0" applyNumberFormat="1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58" applyNumberFormat="1" applyFont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176" fontId="24" fillId="0" borderId="0" xfId="0" applyNumberFormat="1" applyFont="1" applyAlignment="1">
      <alignment horizontal="center" vertical="center" wrapText="1"/>
    </xf>
    <xf numFmtId="176" fontId="23" fillId="0" borderId="0" xfId="0" applyNumberFormat="1" applyFont="1" applyAlignment="1">
      <alignment horizontal="center" vertical="center"/>
    </xf>
    <xf numFmtId="2" fontId="32" fillId="0" borderId="2" xfId="58" applyNumberFormat="1" applyFont="1" applyBorder="1" applyAlignment="1">
      <alignment horizontal="center" vertical="center" wrapText="1" shrinkToFit="1"/>
    </xf>
    <xf numFmtId="0" fontId="31" fillId="0" borderId="2" xfId="58" applyNumberFormat="1" applyFont="1" applyBorder="1" applyAlignment="1">
      <alignment horizontal="center" vertical="center" wrapText="1"/>
    </xf>
    <xf numFmtId="176" fontId="32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176" fontId="23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176" fontId="23" fillId="0" borderId="2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10" fontId="23" fillId="0" borderId="2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176" fontId="32" fillId="3" borderId="2" xfId="0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81" fontId="32" fillId="0" borderId="2" xfId="0" applyNumberFormat="1" applyFont="1" applyBorder="1" applyAlignment="1">
      <alignment horizontal="center" vertical="center" wrapText="1"/>
    </xf>
    <xf numFmtId="176" fontId="25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76" fontId="24" fillId="0" borderId="0" xfId="0" applyNumberFormat="1" applyFont="1" applyAlignment="1">
      <alignment horizontal="center" vertical="center"/>
    </xf>
    <xf numFmtId="176" fontId="34" fillId="0" borderId="0" xfId="0" applyNumberFormat="1" applyFont="1" applyAlignment="1">
      <alignment horizontal="center" vertical="center"/>
    </xf>
    <xf numFmtId="176" fontId="32" fillId="0" borderId="0" xfId="0" applyNumberFormat="1" applyFont="1" applyAlignment="1">
      <alignment horizontal="center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_迎宾路绿化改造工程审核表0424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 3 3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3 3 2" xfId="54"/>
    <cellStyle name="常规_二类费用(2012)" xfId="55"/>
    <cellStyle name="常规_工分计算方法 2" xfId="56"/>
    <cellStyle name="常规_厦门（新）站站北五路市政工程概算审核表" xfId="57"/>
    <cellStyle name="Normal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0%20LYY\00%20&#20108;&#31867;&#36153;\&#25296;&#20180;&#28330;(&#28006;&#23725;&#36335;-324&#22269;&#36947;&#27573;)&#27827;&#36947;&#25972;&#27835;&#24037;&#31243;&#27010;&#31639;&#23457;&#26680;&#27719;&#24635;&#34920;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60Qex"/>
      <sheetName val="审核汇总表"/>
      <sheetName val="二类费用"/>
      <sheetName val="设计"/>
      <sheetName val="监理"/>
      <sheetName val="利息"/>
    </sheetNames>
    <sheetDataSet>
      <sheetData sheetId="0"/>
      <sheetData sheetId="1"/>
      <sheetData sheetId="2"/>
      <sheetData sheetId="3">
        <row r="19">
          <cell r="I19">
            <v>110272.753066667</v>
          </cell>
        </row>
      </sheetData>
      <sheetData sheetId="4">
        <row r="24">
          <cell r="J24">
            <v>7.3493244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7"/>
  <sheetViews>
    <sheetView tabSelected="1" view="pageBreakPreview" zoomScale="130" zoomScaleNormal="70" zoomScaleSheetLayoutView="130" topLeftCell="A42" workbookViewId="0">
      <selection activeCell="A4" sqref="$A4:$XFD125"/>
    </sheetView>
  </sheetViews>
  <sheetFormatPr defaultColWidth="15.375" defaultRowHeight="15"/>
  <cols>
    <col min="1" max="1" width="5.96666666666667" style="109" customWidth="1"/>
    <col min="2" max="2" width="31.5166666666667" style="109" customWidth="1"/>
    <col min="3" max="3" width="11.5166666666667" style="109" customWidth="1"/>
    <col min="4" max="4" width="10.8333333333333" style="109" customWidth="1"/>
    <col min="5" max="5" width="7.96666666666667" style="109" customWidth="1"/>
    <col min="6" max="6" width="11.625" style="109" customWidth="1"/>
    <col min="7" max="7" width="7.39166666666667" style="109" customWidth="1"/>
    <col min="8" max="8" width="20.3583333333333" style="109" customWidth="1"/>
    <col min="9" max="252" width="15.375" style="109"/>
    <col min="253" max="253" width="9.125" style="109" customWidth="1"/>
    <col min="254" max="254" width="33.125" style="109" customWidth="1"/>
    <col min="255" max="255" width="10.625" style="109" customWidth="1"/>
    <col min="256" max="256" width="13.125" style="109" customWidth="1"/>
    <col min="257" max="257" width="10.625" style="109" customWidth="1"/>
    <col min="258" max="258" width="15.5" style="109" customWidth="1"/>
    <col min="259" max="259" width="15.375" style="109" hidden="1" customWidth="1"/>
    <col min="260" max="260" width="31.125" style="109" customWidth="1"/>
    <col min="261" max="263" width="29.25" style="109" customWidth="1"/>
    <col min="264" max="508" width="15.375" style="109"/>
    <col min="509" max="509" width="9.125" style="109" customWidth="1"/>
    <col min="510" max="510" width="33.125" style="109" customWidth="1"/>
    <col min="511" max="511" width="10.625" style="109" customWidth="1"/>
    <col min="512" max="512" width="13.125" style="109" customWidth="1"/>
    <col min="513" max="513" width="10.625" style="109" customWidth="1"/>
    <col min="514" max="514" width="15.5" style="109" customWidth="1"/>
    <col min="515" max="515" width="15.375" style="109" hidden="1" customWidth="1"/>
    <col min="516" max="516" width="31.125" style="109" customWidth="1"/>
    <col min="517" max="519" width="29.25" style="109" customWidth="1"/>
    <col min="520" max="764" width="15.375" style="109"/>
    <col min="765" max="765" width="9.125" style="109" customWidth="1"/>
    <col min="766" max="766" width="33.125" style="109" customWidth="1"/>
    <col min="767" max="767" width="10.625" style="109" customWidth="1"/>
    <col min="768" max="768" width="13.125" style="109" customWidth="1"/>
    <col min="769" max="769" width="10.625" style="109" customWidth="1"/>
    <col min="770" max="770" width="15.5" style="109" customWidth="1"/>
    <col min="771" max="771" width="15.375" style="109" hidden="1" customWidth="1"/>
    <col min="772" max="772" width="31.125" style="109" customWidth="1"/>
    <col min="773" max="775" width="29.25" style="109" customWidth="1"/>
    <col min="776" max="1020" width="15.375" style="109"/>
    <col min="1021" max="1021" width="9.125" style="109" customWidth="1"/>
    <col min="1022" max="1022" width="33.125" style="109" customWidth="1"/>
    <col min="1023" max="1023" width="10.625" style="109" customWidth="1"/>
    <col min="1024" max="1024" width="13.125" style="109" customWidth="1"/>
    <col min="1025" max="1025" width="10.625" style="109" customWidth="1"/>
    <col min="1026" max="1026" width="15.5" style="109" customWidth="1"/>
    <col min="1027" max="1027" width="15.375" style="109" hidden="1" customWidth="1"/>
    <col min="1028" max="1028" width="31.125" style="109" customWidth="1"/>
    <col min="1029" max="1031" width="29.25" style="109" customWidth="1"/>
    <col min="1032" max="1276" width="15.375" style="109"/>
    <col min="1277" max="1277" width="9.125" style="109" customWidth="1"/>
    <col min="1278" max="1278" width="33.125" style="109" customWidth="1"/>
    <col min="1279" max="1279" width="10.625" style="109" customWidth="1"/>
    <col min="1280" max="1280" width="13.125" style="109" customWidth="1"/>
    <col min="1281" max="1281" width="10.625" style="109" customWidth="1"/>
    <col min="1282" max="1282" width="15.5" style="109" customWidth="1"/>
    <col min="1283" max="1283" width="15.375" style="109" hidden="1" customWidth="1"/>
    <col min="1284" max="1284" width="31.125" style="109" customWidth="1"/>
    <col min="1285" max="1287" width="29.25" style="109" customWidth="1"/>
    <col min="1288" max="1532" width="15.375" style="109"/>
    <col min="1533" max="1533" width="9.125" style="109" customWidth="1"/>
    <col min="1534" max="1534" width="33.125" style="109" customWidth="1"/>
    <col min="1535" max="1535" width="10.625" style="109" customWidth="1"/>
    <col min="1536" max="1536" width="13.125" style="109" customWidth="1"/>
    <col min="1537" max="1537" width="10.625" style="109" customWidth="1"/>
    <col min="1538" max="1538" width="15.5" style="109" customWidth="1"/>
    <col min="1539" max="1539" width="15.375" style="109" hidden="1" customWidth="1"/>
    <col min="1540" max="1540" width="31.125" style="109" customWidth="1"/>
    <col min="1541" max="1543" width="29.25" style="109" customWidth="1"/>
    <col min="1544" max="1788" width="15.375" style="109"/>
    <col min="1789" max="1789" width="9.125" style="109" customWidth="1"/>
    <col min="1790" max="1790" width="33.125" style="109" customWidth="1"/>
    <col min="1791" max="1791" width="10.625" style="109" customWidth="1"/>
    <col min="1792" max="1792" width="13.125" style="109" customWidth="1"/>
    <col min="1793" max="1793" width="10.625" style="109" customWidth="1"/>
    <col min="1794" max="1794" width="15.5" style="109" customWidth="1"/>
    <col min="1795" max="1795" width="15.375" style="109" hidden="1" customWidth="1"/>
    <col min="1796" max="1796" width="31.125" style="109" customWidth="1"/>
    <col min="1797" max="1799" width="29.25" style="109" customWidth="1"/>
    <col min="1800" max="2044" width="15.375" style="109"/>
    <col min="2045" max="2045" width="9.125" style="109" customWidth="1"/>
    <col min="2046" max="2046" width="33.125" style="109" customWidth="1"/>
    <col min="2047" max="2047" width="10.625" style="109" customWidth="1"/>
    <col min="2048" max="2048" width="13.125" style="109" customWidth="1"/>
    <col min="2049" max="2049" width="10.625" style="109" customWidth="1"/>
    <col min="2050" max="2050" width="15.5" style="109" customWidth="1"/>
    <col min="2051" max="2051" width="15.375" style="109" hidden="1" customWidth="1"/>
    <col min="2052" max="2052" width="31.125" style="109" customWidth="1"/>
    <col min="2053" max="2055" width="29.25" style="109" customWidth="1"/>
    <col min="2056" max="2300" width="15.375" style="109"/>
    <col min="2301" max="2301" width="9.125" style="109" customWidth="1"/>
    <col min="2302" max="2302" width="33.125" style="109" customWidth="1"/>
    <col min="2303" max="2303" width="10.625" style="109" customWidth="1"/>
    <col min="2304" max="2304" width="13.125" style="109" customWidth="1"/>
    <col min="2305" max="2305" width="10.625" style="109" customWidth="1"/>
    <col min="2306" max="2306" width="15.5" style="109" customWidth="1"/>
    <col min="2307" max="2307" width="15.375" style="109" hidden="1" customWidth="1"/>
    <col min="2308" max="2308" width="31.125" style="109" customWidth="1"/>
    <col min="2309" max="2311" width="29.25" style="109" customWidth="1"/>
    <col min="2312" max="2556" width="15.375" style="109"/>
    <col min="2557" max="2557" width="9.125" style="109" customWidth="1"/>
    <col min="2558" max="2558" width="33.125" style="109" customWidth="1"/>
    <col min="2559" max="2559" width="10.625" style="109" customWidth="1"/>
    <col min="2560" max="2560" width="13.125" style="109" customWidth="1"/>
    <col min="2561" max="2561" width="10.625" style="109" customWidth="1"/>
    <col min="2562" max="2562" width="15.5" style="109" customWidth="1"/>
    <col min="2563" max="2563" width="15.375" style="109" hidden="1" customWidth="1"/>
    <col min="2564" max="2564" width="31.125" style="109" customWidth="1"/>
    <col min="2565" max="2567" width="29.25" style="109" customWidth="1"/>
    <col min="2568" max="2812" width="15.375" style="109"/>
    <col min="2813" max="2813" width="9.125" style="109" customWidth="1"/>
    <col min="2814" max="2814" width="33.125" style="109" customWidth="1"/>
    <col min="2815" max="2815" width="10.625" style="109" customWidth="1"/>
    <col min="2816" max="2816" width="13.125" style="109" customWidth="1"/>
    <col min="2817" max="2817" width="10.625" style="109" customWidth="1"/>
    <col min="2818" max="2818" width="15.5" style="109" customWidth="1"/>
    <col min="2819" max="2819" width="15.375" style="109" hidden="1" customWidth="1"/>
    <col min="2820" max="2820" width="31.125" style="109" customWidth="1"/>
    <col min="2821" max="2823" width="29.25" style="109" customWidth="1"/>
    <col min="2824" max="3068" width="15.375" style="109"/>
    <col min="3069" max="3069" width="9.125" style="109" customWidth="1"/>
    <col min="3070" max="3070" width="33.125" style="109" customWidth="1"/>
    <col min="3071" max="3071" width="10.625" style="109" customWidth="1"/>
    <col min="3072" max="3072" width="13.125" style="109" customWidth="1"/>
    <col min="3073" max="3073" width="10.625" style="109" customWidth="1"/>
    <col min="3074" max="3074" width="15.5" style="109" customWidth="1"/>
    <col min="3075" max="3075" width="15.375" style="109" hidden="1" customWidth="1"/>
    <col min="3076" max="3076" width="31.125" style="109" customWidth="1"/>
    <col min="3077" max="3079" width="29.25" style="109" customWidth="1"/>
    <col min="3080" max="3324" width="15.375" style="109"/>
    <col min="3325" max="3325" width="9.125" style="109" customWidth="1"/>
    <col min="3326" max="3326" width="33.125" style="109" customWidth="1"/>
    <col min="3327" max="3327" width="10.625" style="109" customWidth="1"/>
    <col min="3328" max="3328" width="13.125" style="109" customWidth="1"/>
    <col min="3329" max="3329" width="10.625" style="109" customWidth="1"/>
    <col min="3330" max="3330" width="15.5" style="109" customWidth="1"/>
    <col min="3331" max="3331" width="15.375" style="109" hidden="1" customWidth="1"/>
    <col min="3332" max="3332" width="31.125" style="109" customWidth="1"/>
    <col min="3333" max="3335" width="29.25" style="109" customWidth="1"/>
    <col min="3336" max="3580" width="15.375" style="109"/>
    <col min="3581" max="3581" width="9.125" style="109" customWidth="1"/>
    <col min="3582" max="3582" width="33.125" style="109" customWidth="1"/>
    <col min="3583" max="3583" width="10.625" style="109" customWidth="1"/>
    <col min="3584" max="3584" width="13.125" style="109" customWidth="1"/>
    <col min="3585" max="3585" width="10.625" style="109" customWidth="1"/>
    <col min="3586" max="3586" width="15.5" style="109" customWidth="1"/>
    <col min="3587" max="3587" width="15.375" style="109" hidden="1" customWidth="1"/>
    <col min="3588" max="3588" width="31.125" style="109" customWidth="1"/>
    <col min="3589" max="3591" width="29.25" style="109" customWidth="1"/>
    <col min="3592" max="3836" width="15.375" style="109"/>
    <col min="3837" max="3837" width="9.125" style="109" customWidth="1"/>
    <col min="3838" max="3838" width="33.125" style="109" customWidth="1"/>
    <col min="3839" max="3839" width="10.625" style="109" customWidth="1"/>
    <col min="3840" max="3840" width="13.125" style="109" customWidth="1"/>
    <col min="3841" max="3841" width="10.625" style="109" customWidth="1"/>
    <col min="3842" max="3842" width="15.5" style="109" customWidth="1"/>
    <col min="3843" max="3843" width="15.375" style="109" hidden="1" customWidth="1"/>
    <col min="3844" max="3844" width="31.125" style="109" customWidth="1"/>
    <col min="3845" max="3847" width="29.25" style="109" customWidth="1"/>
    <col min="3848" max="4092" width="15.375" style="109"/>
    <col min="4093" max="4093" width="9.125" style="109" customWidth="1"/>
    <col min="4094" max="4094" width="33.125" style="109" customWidth="1"/>
    <col min="4095" max="4095" width="10.625" style="109" customWidth="1"/>
    <col min="4096" max="4096" width="13.125" style="109" customWidth="1"/>
    <col min="4097" max="4097" width="10.625" style="109" customWidth="1"/>
    <col min="4098" max="4098" width="15.5" style="109" customWidth="1"/>
    <col min="4099" max="4099" width="15.375" style="109" hidden="1" customWidth="1"/>
    <col min="4100" max="4100" width="31.125" style="109" customWidth="1"/>
    <col min="4101" max="4103" width="29.25" style="109" customWidth="1"/>
    <col min="4104" max="4348" width="15.375" style="109"/>
    <col min="4349" max="4349" width="9.125" style="109" customWidth="1"/>
    <col min="4350" max="4350" width="33.125" style="109" customWidth="1"/>
    <col min="4351" max="4351" width="10.625" style="109" customWidth="1"/>
    <col min="4352" max="4352" width="13.125" style="109" customWidth="1"/>
    <col min="4353" max="4353" width="10.625" style="109" customWidth="1"/>
    <col min="4354" max="4354" width="15.5" style="109" customWidth="1"/>
    <col min="4355" max="4355" width="15.375" style="109" hidden="1" customWidth="1"/>
    <col min="4356" max="4356" width="31.125" style="109" customWidth="1"/>
    <col min="4357" max="4359" width="29.25" style="109" customWidth="1"/>
    <col min="4360" max="4604" width="15.375" style="109"/>
    <col min="4605" max="4605" width="9.125" style="109" customWidth="1"/>
    <col min="4606" max="4606" width="33.125" style="109" customWidth="1"/>
    <col min="4607" max="4607" width="10.625" style="109" customWidth="1"/>
    <col min="4608" max="4608" width="13.125" style="109" customWidth="1"/>
    <col min="4609" max="4609" width="10.625" style="109" customWidth="1"/>
    <col min="4610" max="4610" width="15.5" style="109" customWidth="1"/>
    <col min="4611" max="4611" width="15.375" style="109" hidden="1" customWidth="1"/>
    <col min="4612" max="4612" width="31.125" style="109" customWidth="1"/>
    <col min="4613" max="4615" width="29.25" style="109" customWidth="1"/>
    <col min="4616" max="4860" width="15.375" style="109"/>
    <col min="4861" max="4861" width="9.125" style="109" customWidth="1"/>
    <col min="4862" max="4862" width="33.125" style="109" customWidth="1"/>
    <col min="4863" max="4863" width="10.625" style="109" customWidth="1"/>
    <col min="4864" max="4864" width="13.125" style="109" customWidth="1"/>
    <col min="4865" max="4865" width="10.625" style="109" customWidth="1"/>
    <col min="4866" max="4866" width="15.5" style="109" customWidth="1"/>
    <col min="4867" max="4867" width="15.375" style="109" hidden="1" customWidth="1"/>
    <col min="4868" max="4868" width="31.125" style="109" customWidth="1"/>
    <col min="4869" max="4871" width="29.25" style="109" customWidth="1"/>
    <col min="4872" max="5116" width="15.375" style="109"/>
    <col min="5117" max="5117" width="9.125" style="109" customWidth="1"/>
    <col min="5118" max="5118" width="33.125" style="109" customWidth="1"/>
    <col min="5119" max="5119" width="10.625" style="109" customWidth="1"/>
    <col min="5120" max="5120" width="13.125" style="109" customWidth="1"/>
    <col min="5121" max="5121" width="10.625" style="109" customWidth="1"/>
    <col min="5122" max="5122" width="15.5" style="109" customWidth="1"/>
    <col min="5123" max="5123" width="15.375" style="109" hidden="1" customWidth="1"/>
    <col min="5124" max="5124" width="31.125" style="109" customWidth="1"/>
    <col min="5125" max="5127" width="29.25" style="109" customWidth="1"/>
    <col min="5128" max="5372" width="15.375" style="109"/>
    <col min="5373" max="5373" width="9.125" style="109" customWidth="1"/>
    <col min="5374" max="5374" width="33.125" style="109" customWidth="1"/>
    <col min="5375" max="5375" width="10.625" style="109" customWidth="1"/>
    <col min="5376" max="5376" width="13.125" style="109" customWidth="1"/>
    <col min="5377" max="5377" width="10.625" style="109" customWidth="1"/>
    <col min="5378" max="5378" width="15.5" style="109" customWidth="1"/>
    <col min="5379" max="5379" width="15.375" style="109" hidden="1" customWidth="1"/>
    <col min="5380" max="5380" width="31.125" style="109" customWidth="1"/>
    <col min="5381" max="5383" width="29.25" style="109" customWidth="1"/>
    <col min="5384" max="5628" width="15.375" style="109"/>
    <col min="5629" max="5629" width="9.125" style="109" customWidth="1"/>
    <col min="5630" max="5630" width="33.125" style="109" customWidth="1"/>
    <col min="5631" max="5631" width="10.625" style="109" customWidth="1"/>
    <col min="5632" max="5632" width="13.125" style="109" customWidth="1"/>
    <col min="5633" max="5633" width="10.625" style="109" customWidth="1"/>
    <col min="5634" max="5634" width="15.5" style="109" customWidth="1"/>
    <col min="5635" max="5635" width="15.375" style="109" hidden="1" customWidth="1"/>
    <col min="5636" max="5636" width="31.125" style="109" customWidth="1"/>
    <col min="5637" max="5639" width="29.25" style="109" customWidth="1"/>
    <col min="5640" max="5884" width="15.375" style="109"/>
    <col min="5885" max="5885" width="9.125" style="109" customWidth="1"/>
    <col min="5886" max="5886" width="33.125" style="109" customWidth="1"/>
    <col min="5887" max="5887" width="10.625" style="109" customWidth="1"/>
    <col min="5888" max="5888" width="13.125" style="109" customWidth="1"/>
    <col min="5889" max="5889" width="10.625" style="109" customWidth="1"/>
    <col min="5890" max="5890" width="15.5" style="109" customWidth="1"/>
    <col min="5891" max="5891" width="15.375" style="109" hidden="1" customWidth="1"/>
    <col min="5892" max="5892" width="31.125" style="109" customWidth="1"/>
    <col min="5893" max="5895" width="29.25" style="109" customWidth="1"/>
    <col min="5896" max="6140" width="15.375" style="109"/>
    <col min="6141" max="6141" width="9.125" style="109" customWidth="1"/>
    <col min="6142" max="6142" width="33.125" style="109" customWidth="1"/>
    <col min="6143" max="6143" width="10.625" style="109" customWidth="1"/>
    <col min="6144" max="6144" width="13.125" style="109" customWidth="1"/>
    <col min="6145" max="6145" width="10.625" style="109" customWidth="1"/>
    <col min="6146" max="6146" width="15.5" style="109" customWidth="1"/>
    <col min="6147" max="6147" width="15.375" style="109" hidden="1" customWidth="1"/>
    <col min="6148" max="6148" width="31.125" style="109" customWidth="1"/>
    <col min="6149" max="6151" width="29.25" style="109" customWidth="1"/>
    <col min="6152" max="6396" width="15.375" style="109"/>
    <col min="6397" max="6397" width="9.125" style="109" customWidth="1"/>
    <col min="6398" max="6398" width="33.125" style="109" customWidth="1"/>
    <col min="6399" max="6399" width="10.625" style="109" customWidth="1"/>
    <col min="6400" max="6400" width="13.125" style="109" customWidth="1"/>
    <col min="6401" max="6401" width="10.625" style="109" customWidth="1"/>
    <col min="6402" max="6402" width="15.5" style="109" customWidth="1"/>
    <col min="6403" max="6403" width="15.375" style="109" hidden="1" customWidth="1"/>
    <col min="6404" max="6404" width="31.125" style="109" customWidth="1"/>
    <col min="6405" max="6407" width="29.25" style="109" customWidth="1"/>
    <col min="6408" max="6652" width="15.375" style="109"/>
    <col min="6653" max="6653" width="9.125" style="109" customWidth="1"/>
    <col min="6654" max="6654" width="33.125" style="109" customWidth="1"/>
    <col min="6655" max="6655" width="10.625" style="109" customWidth="1"/>
    <col min="6656" max="6656" width="13.125" style="109" customWidth="1"/>
    <col min="6657" max="6657" width="10.625" style="109" customWidth="1"/>
    <col min="6658" max="6658" width="15.5" style="109" customWidth="1"/>
    <col min="6659" max="6659" width="15.375" style="109" hidden="1" customWidth="1"/>
    <col min="6660" max="6660" width="31.125" style="109" customWidth="1"/>
    <col min="6661" max="6663" width="29.25" style="109" customWidth="1"/>
    <col min="6664" max="6908" width="15.375" style="109"/>
    <col min="6909" max="6909" width="9.125" style="109" customWidth="1"/>
    <col min="6910" max="6910" width="33.125" style="109" customWidth="1"/>
    <col min="6911" max="6911" width="10.625" style="109" customWidth="1"/>
    <col min="6912" max="6912" width="13.125" style="109" customWidth="1"/>
    <col min="6913" max="6913" width="10.625" style="109" customWidth="1"/>
    <col min="6914" max="6914" width="15.5" style="109" customWidth="1"/>
    <col min="6915" max="6915" width="15.375" style="109" hidden="1" customWidth="1"/>
    <col min="6916" max="6916" width="31.125" style="109" customWidth="1"/>
    <col min="6917" max="6919" width="29.25" style="109" customWidth="1"/>
    <col min="6920" max="7164" width="15.375" style="109"/>
    <col min="7165" max="7165" width="9.125" style="109" customWidth="1"/>
    <col min="7166" max="7166" width="33.125" style="109" customWidth="1"/>
    <col min="7167" max="7167" width="10.625" style="109" customWidth="1"/>
    <col min="7168" max="7168" width="13.125" style="109" customWidth="1"/>
    <col min="7169" max="7169" width="10.625" style="109" customWidth="1"/>
    <col min="7170" max="7170" width="15.5" style="109" customWidth="1"/>
    <col min="7171" max="7171" width="15.375" style="109" hidden="1" customWidth="1"/>
    <col min="7172" max="7172" width="31.125" style="109" customWidth="1"/>
    <col min="7173" max="7175" width="29.25" style="109" customWidth="1"/>
    <col min="7176" max="7420" width="15.375" style="109"/>
    <col min="7421" max="7421" width="9.125" style="109" customWidth="1"/>
    <col min="7422" max="7422" width="33.125" style="109" customWidth="1"/>
    <col min="7423" max="7423" width="10.625" style="109" customWidth="1"/>
    <col min="7424" max="7424" width="13.125" style="109" customWidth="1"/>
    <col min="7425" max="7425" width="10.625" style="109" customWidth="1"/>
    <col min="7426" max="7426" width="15.5" style="109" customWidth="1"/>
    <col min="7427" max="7427" width="15.375" style="109" hidden="1" customWidth="1"/>
    <col min="7428" max="7428" width="31.125" style="109" customWidth="1"/>
    <col min="7429" max="7431" width="29.25" style="109" customWidth="1"/>
    <col min="7432" max="7676" width="15.375" style="109"/>
    <col min="7677" max="7677" width="9.125" style="109" customWidth="1"/>
    <col min="7678" max="7678" width="33.125" style="109" customWidth="1"/>
    <col min="7679" max="7679" width="10.625" style="109" customWidth="1"/>
    <col min="7680" max="7680" width="13.125" style="109" customWidth="1"/>
    <col min="7681" max="7681" width="10.625" style="109" customWidth="1"/>
    <col min="7682" max="7682" width="15.5" style="109" customWidth="1"/>
    <col min="7683" max="7683" width="15.375" style="109" hidden="1" customWidth="1"/>
    <col min="7684" max="7684" width="31.125" style="109" customWidth="1"/>
    <col min="7685" max="7687" width="29.25" style="109" customWidth="1"/>
    <col min="7688" max="7932" width="15.375" style="109"/>
    <col min="7933" max="7933" width="9.125" style="109" customWidth="1"/>
    <col min="7934" max="7934" width="33.125" style="109" customWidth="1"/>
    <col min="7935" max="7935" width="10.625" style="109" customWidth="1"/>
    <col min="7936" max="7936" width="13.125" style="109" customWidth="1"/>
    <col min="7937" max="7937" width="10.625" style="109" customWidth="1"/>
    <col min="7938" max="7938" width="15.5" style="109" customWidth="1"/>
    <col min="7939" max="7939" width="15.375" style="109" hidden="1" customWidth="1"/>
    <col min="7940" max="7940" width="31.125" style="109" customWidth="1"/>
    <col min="7941" max="7943" width="29.25" style="109" customWidth="1"/>
    <col min="7944" max="8188" width="15.375" style="109"/>
    <col min="8189" max="8189" width="9.125" style="109" customWidth="1"/>
    <col min="8190" max="8190" width="33.125" style="109" customWidth="1"/>
    <col min="8191" max="8191" width="10.625" style="109" customWidth="1"/>
    <col min="8192" max="8192" width="13.125" style="109" customWidth="1"/>
    <col min="8193" max="8193" width="10.625" style="109" customWidth="1"/>
    <col min="8194" max="8194" width="15.5" style="109" customWidth="1"/>
    <col min="8195" max="8195" width="15.375" style="109" hidden="1" customWidth="1"/>
    <col min="8196" max="8196" width="31.125" style="109" customWidth="1"/>
    <col min="8197" max="8199" width="29.25" style="109" customWidth="1"/>
    <col min="8200" max="8444" width="15.375" style="109"/>
    <col min="8445" max="8445" width="9.125" style="109" customWidth="1"/>
    <col min="8446" max="8446" width="33.125" style="109" customWidth="1"/>
    <col min="8447" max="8447" width="10.625" style="109" customWidth="1"/>
    <col min="8448" max="8448" width="13.125" style="109" customWidth="1"/>
    <col min="8449" max="8449" width="10.625" style="109" customWidth="1"/>
    <col min="8450" max="8450" width="15.5" style="109" customWidth="1"/>
    <col min="8451" max="8451" width="15.375" style="109" hidden="1" customWidth="1"/>
    <col min="8452" max="8452" width="31.125" style="109" customWidth="1"/>
    <col min="8453" max="8455" width="29.25" style="109" customWidth="1"/>
    <col min="8456" max="8700" width="15.375" style="109"/>
    <col min="8701" max="8701" width="9.125" style="109" customWidth="1"/>
    <col min="8702" max="8702" width="33.125" style="109" customWidth="1"/>
    <col min="8703" max="8703" width="10.625" style="109" customWidth="1"/>
    <col min="8704" max="8704" width="13.125" style="109" customWidth="1"/>
    <col min="8705" max="8705" width="10.625" style="109" customWidth="1"/>
    <col min="8706" max="8706" width="15.5" style="109" customWidth="1"/>
    <col min="8707" max="8707" width="15.375" style="109" hidden="1" customWidth="1"/>
    <col min="8708" max="8708" width="31.125" style="109" customWidth="1"/>
    <col min="8709" max="8711" width="29.25" style="109" customWidth="1"/>
    <col min="8712" max="8956" width="15.375" style="109"/>
    <col min="8957" max="8957" width="9.125" style="109" customWidth="1"/>
    <col min="8958" max="8958" width="33.125" style="109" customWidth="1"/>
    <col min="8959" max="8959" width="10.625" style="109" customWidth="1"/>
    <col min="8960" max="8960" width="13.125" style="109" customWidth="1"/>
    <col min="8961" max="8961" width="10.625" style="109" customWidth="1"/>
    <col min="8962" max="8962" width="15.5" style="109" customWidth="1"/>
    <col min="8963" max="8963" width="15.375" style="109" hidden="1" customWidth="1"/>
    <col min="8964" max="8964" width="31.125" style="109" customWidth="1"/>
    <col min="8965" max="8967" width="29.25" style="109" customWidth="1"/>
    <col min="8968" max="9212" width="15.375" style="109"/>
    <col min="9213" max="9213" width="9.125" style="109" customWidth="1"/>
    <col min="9214" max="9214" width="33.125" style="109" customWidth="1"/>
    <col min="9215" max="9215" width="10.625" style="109" customWidth="1"/>
    <col min="9216" max="9216" width="13.125" style="109" customWidth="1"/>
    <col min="9217" max="9217" width="10.625" style="109" customWidth="1"/>
    <col min="9218" max="9218" width="15.5" style="109" customWidth="1"/>
    <col min="9219" max="9219" width="15.375" style="109" hidden="1" customWidth="1"/>
    <col min="9220" max="9220" width="31.125" style="109" customWidth="1"/>
    <col min="9221" max="9223" width="29.25" style="109" customWidth="1"/>
    <col min="9224" max="9468" width="15.375" style="109"/>
    <col min="9469" max="9469" width="9.125" style="109" customWidth="1"/>
    <col min="9470" max="9470" width="33.125" style="109" customWidth="1"/>
    <col min="9471" max="9471" width="10.625" style="109" customWidth="1"/>
    <col min="9472" max="9472" width="13.125" style="109" customWidth="1"/>
    <col min="9473" max="9473" width="10.625" style="109" customWidth="1"/>
    <col min="9474" max="9474" width="15.5" style="109" customWidth="1"/>
    <col min="9475" max="9475" width="15.375" style="109" hidden="1" customWidth="1"/>
    <col min="9476" max="9476" width="31.125" style="109" customWidth="1"/>
    <col min="9477" max="9479" width="29.25" style="109" customWidth="1"/>
    <col min="9480" max="9724" width="15.375" style="109"/>
    <col min="9725" max="9725" width="9.125" style="109" customWidth="1"/>
    <col min="9726" max="9726" width="33.125" style="109" customWidth="1"/>
    <col min="9727" max="9727" width="10.625" style="109" customWidth="1"/>
    <col min="9728" max="9728" width="13.125" style="109" customWidth="1"/>
    <col min="9729" max="9729" width="10.625" style="109" customWidth="1"/>
    <col min="9730" max="9730" width="15.5" style="109" customWidth="1"/>
    <col min="9731" max="9731" width="15.375" style="109" hidden="1" customWidth="1"/>
    <col min="9732" max="9732" width="31.125" style="109" customWidth="1"/>
    <col min="9733" max="9735" width="29.25" style="109" customWidth="1"/>
    <col min="9736" max="9980" width="15.375" style="109"/>
    <col min="9981" max="9981" width="9.125" style="109" customWidth="1"/>
    <col min="9982" max="9982" width="33.125" style="109" customWidth="1"/>
    <col min="9983" max="9983" width="10.625" style="109" customWidth="1"/>
    <col min="9984" max="9984" width="13.125" style="109" customWidth="1"/>
    <col min="9985" max="9985" width="10.625" style="109" customWidth="1"/>
    <col min="9986" max="9986" width="15.5" style="109" customWidth="1"/>
    <col min="9987" max="9987" width="15.375" style="109" hidden="1" customWidth="1"/>
    <col min="9988" max="9988" width="31.125" style="109" customWidth="1"/>
    <col min="9989" max="9991" width="29.25" style="109" customWidth="1"/>
    <col min="9992" max="10236" width="15.375" style="109"/>
    <col min="10237" max="10237" width="9.125" style="109" customWidth="1"/>
    <col min="10238" max="10238" width="33.125" style="109" customWidth="1"/>
    <col min="10239" max="10239" width="10.625" style="109" customWidth="1"/>
    <col min="10240" max="10240" width="13.125" style="109" customWidth="1"/>
    <col min="10241" max="10241" width="10.625" style="109" customWidth="1"/>
    <col min="10242" max="10242" width="15.5" style="109" customWidth="1"/>
    <col min="10243" max="10243" width="15.375" style="109" hidden="1" customWidth="1"/>
    <col min="10244" max="10244" width="31.125" style="109" customWidth="1"/>
    <col min="10245" max="10247" width="29.25" style="109" customWidth="1"/>
    <col min="10248" max="10492" width="15.375" style="109"/>
    <col min="10493" max="10493" width="9.125" style="109" customWidth="1"/>
    <col min="10494" max="10494" width="33.125" style="109" customWidth="1"/>
    <col min="10495" max="10495" width="10.625" style="109" customWidth="1"/>
    <col min="10496" max="10496" width="13.125" style="109" customWidth="1"/>
    <col min="10497" max="10497" width="10.625" style="109" customWidth="1"/>
    <col min="10498" max="10498" width="15.5" style="109" customWidth="1"/>
    <col min="10499" max="10499" width="15.375" style="109" hidden="1" customWidth="1"/>
    <col min="10500" max="10500" width="31.125" style="109" customWidth="1"/>
    <col min="10501" max="10503" width="29.25" style="109" customWidth="1"/>
    <col min="10504" max="10748" width="15.375" style="109"/>
    <col min="10749" max="10749" width="9.125" style="109" customWidth="1"/>
    <col min="10750" max="10750" width="33.125" style="109" customWidth="1"/>
    <col min="10751" max="10751" width="10.625" style="109" customWidth="1"/>
    <col min="10752" max="10752" width="13.125" style="109" customWidth="1"/>
    <col min="10753" max="10753" width="10.625" style="109" customWidth="1"/>
    <col min="10754" max="10754" width="15.5" style="109" customWidth="1"/>
    <col min="10755" max="10755" width="15.375" style="109" hidden="1" customWidth="1"/>
    <col min="10756" max="10756" width="31.125" style="109" customWidth="1"/>
    <col min="10757" max="10759" width="29.25" style="109" customWidth="1"/>
    <col min="10760" max="11004" width="15.375" style="109"/>
    <col min="11005" max="11005" width="9.125" style="109" customWidth="1"/>
    <col min="11006" max="11006" width="33.125" style="109" customWidth="1"/>
    <col min="11007" max="11007" width="10.625" style="109" customWidth="1"/>
    <col min="11008" max="11008" width="13.125" style="109" customWidth="1"/>
    <col min="11009" max="11009" width="10.625" style="109" customWidth="1"/>
    <col min="11010" max="11010" width="15.5" style="109" customWidth="1"/>
    <col min="11011" max="11011" width="15.375" style="109" hidden="1" customWidth="1"/>
    <col min="11012" max="11012" width="31.125" style="109" customWidth="1"/>
    <col min="11013" max="11015" width="29.25" style="109" customWidth="1"/>
    <col min="11016" max="11260" width="15.375" style="109"/>
    <col min="11261" max="11261" width="9.125" style="109" customWidth="1"/>
    <col min="11262" max="11262" width="33.125" style="109" customWidth="1"/>
    <col min="11263" max="11263" width="10.625" style="109" customWidth="1"/>
    <col min="11264" max="11264" width="13.125" style="109" customWidth="1"/>
    <col min="11265" max="11265" width="10.625" style="109" customWidth="1"/>
    <col min="11266" max="11266" width="15.5" style="109" customWidth="1"/>
    <col min="11267" max="11267" width="15.375" style="109" hidden="1" customWidth="1"/>
    <col min="11268" max="11268" width="31.125" style="109" customWidth="1"/>
    <col min="11269" max="11271" width="29.25" style="109" customWidth="1"/>
    <col min="11272" max="11516" width="15.375" style="109"/>
    <col min="11517" max="11517" width="9.125" style="109" customWidth="1"/>
    <col min="11518" max="11518" width="33.125" style="109" customWidth="1"/>
    <col min="11519" max="11519" width="10.625" style="109" customWidth="1"/>
    <col min="11520" max="11520" width="13.125" style="109" customWidth="1"/>
    <col min="11521" max="11521" width="10.625" style="109" customWidth="1"/>
    <col min="11522" max="11522" width="15.5" style="109" customWidth="1"/>
    <col min="11523" max="11523" width="15.375" style="109" hidden="1" customWidth="1"/>
    <col min="11524" max="11524" width="31.125" style="109" customWidth="1"/>
    <col min="11525" max="11527" width="29.25" style="109" customWidth="1"/>
    <col min="11528" max="11772" width="15.375" style="109"/>
    <col min="11773" max="11773" width="9.125" style="109" customWidth="1"/>
    <col min="11774" max="11774" width="33.125" style="109" customWidth="1"/>
    <col min="11775" max="11775" width="10.625" style="109" customWidth="1"/>
    <col min="11776" max="11776" width="13.125" style="109" customWidth="1"/>
    <col min="11777" max="11777" width="10.625" style="109" customWidth="1"/>
    <col min="11778" max="11778" width="15.5" style="109" customWidth="1"/>
    <col min="11779" max="11779" width="15.375" style="109" hidden="1" customWidth="1"/>
    <col min="11780" max="11780" width="31.125" style="109" customWidth="1"/>
    <col min="11781" max="11783" width="29.25" style="109" customWidth="1"/>
    <col min="11784" max="12028" width="15.375" style="109"/>
    <col min="12029" max="12029" width="9.125" style="109" customWidth="1"/>
    <col min="12030" max="12030" width="33.125" style="109" customWidth="1"/>
    <col min="12031" max="12031" width="10.625" style="109" customWidth="1"/>
    <col min="12032" max="12032" width="13.125" style="109" customWidth="1"/>
    <col min="12033" max="12033" width="10.625" style="109" customWidth="1"/>
    <col min="12034" max="12034" width="15.5" style="109" customWidth="1"/>
    <col min="12035" max="12035" width="15.375" style="109" hidden="1" customWidth="1"/>
    <col min="12036" max="12036" width="31.125" style="109" customWidth="1"/>
    <col min="12037" max="12039" width="29.25" style="109" customWidth="1"/>
    <col min="12040" max="12284" width="15.375" style="109"/>
    <col min="12285" max="12285" width="9.125" style="109" customWidth="1"/>
    <col min="12286" max="12286" width="33.125" style="109" customWidth="1"/>
    <col min="12287" max="12287" width="10.625" style="109" customWidth="1"/>
    <col min="12288" max="12288" width="13.125" style="109" customWidth="1"/>
    <col min="12289" max="12289" width="10.625" style="109" customWidth="1"/>
    <col min="12290" max="12290" width="15.5" style="109" customWidth="1"/>
    <col min="12291" max="12291" width="15.375" style="109" hidden="1" customWidth="1"/>
    <col min="12292" max="12292" width="31.125" style="109" customWidth="1"/>
    <col min="12293" max="12295" width="29.25" style="109" customWidth="1"/>
    <col min="12296" max="12540" width="15.375" style="109"/>
    <col min="12541" max="12541" width="9.125" style="109" customWidth="1"/>
    <col min="12542" max="12542" width="33.125" style="109" customWidth="1"/>
    <col min="12543" max="12543" width="10.625" style="109" customWidth="1"/>
    <col min="12544" max="12544" width="13.125" style="109" customWidth="1"/>
    <col min="12545" max="12545" width="10.625" style="109" customWidth="1"/>
    <col min="12546" max="12546" width="15.5" style="109" customWidth="1"/>
    <col min="12547" max="12547" width="15.375" style="109" hidden="1" customWidth="1"/>
    <col min="12548" max="12548" width="31.125" style="109" customWidth="1"/>
    <col min="12549" max="12551" width="29.25" style="109" customWidth="1"/>
    <col min="12552" max="12796" width="15.375" style="109"/>
    <col min="12797" max="12797" width="9.125" style="109" customWidth="1"/>
    <col min="12798" max="12798" width="33.125" style="109" customWidth="1"/>
    <col min="12799" max="12799" width="10.625" style="109" customWidth="1"/>
    <col min="12800" max="12800" width="13.125" style="109" customWidth="1"/>
    <col min="12801" max="12801" width="10.625" style="109" customWidth="1"/>
    <col min="12802" max="12802" width="15.5" style="109" customWidth="1"/>
    <col min="12803" max="12803" width="15.375" style="109" hidden="1" customWidth="1"/>
    <col min="12804" max="12804" width="31.125" style="109" customWidth="1"/>
    <col min="12805" max="12807" width="29.25" style="109" customWidth="1"/>
    <col min="12808" max="13052" width="15.375" style="109"/>
    <col min="13053" max="13053" width="9.125" style="109" customWidth="1"/>
    <col min="13054" max="13054" width="33.125" style="109" customWidth="1"/>
    <col min="13055" max="13055" width="10.625" style="109" customWidth="1"/>
    <col min="13056" max="13056" width="13.125" style="109" customWidth="1"/>
    <col min="13057" max="13057" width="10.625" style="109" customWidth="1"/>
    <col min="13058" max="13058" width="15.5" style="109" customWidth="1"/>
    <col min="13059" max="13059" width="15.375" style="109" hidden="1" customWidth="1"/>
    <col min="13060" max="13060" width="31.125" style="109" customWidth="1"/>
    <col min="13061" max="13063" width="29.25" style="109" customWidth="1"/>
    <col min="13064" max="13308" width="15.375" style="109"/>
    <col min="13309" max="13309" width="9.125" style="109" customWidth="1"/>
    <col min="13310" max="13310" width="33.125" style="109" customWidth="1"/>
    <col min="13311" max="13311" width="10.625" style="109" customWidth="1"/>
    <col min="13312" max="13312" width="13.125" style="109" customWidth="1"/>
    <col min="13313" max="13313" width="10.625" style="109" customWidth="1"/>
    <col min="13314" max="13314" width="15.5" style="109" customWidth="1"/>
    <col min="13315" max="13315" width="15.375" style="109" hidden="1" customWidth="1"/>
    <col min="13316" max="13316" width="31.125" style="109" customWidth="1"/>
    <col min="13317" max="13319" width="29.25" style="109" customWidth="1"/>
    <col min="13320" max="13564" width="15.375" style="109"/>
    <col min="13565" max="13565" width="9.125" style="109" customWidth="1"/>
    <col min="13566" max="13566" width="33.125" style="109" customWidth="1"/>
    <col min="13567" max="13567" width="10.625" style="109" customWidth="1"/>
    <col min="13568" max="13568" width="13.125" style="109" customWidth="1"/>
    <col min="13569" max="13569" width="10.625" style="109" customWidth="1"/>
    <col min="13570" max="13570" width="15.5" style="109" customWidth="1"/>
    <col min="13571" max="13571" width="15.375" style="109" hidden="1" customWidth="1"/>
    <col min="13572" max="13572" width="31.125" style="109" customWidth="1"/>
    <col min="13573" max="13575" width="29.25" style="109" customWidth="1"/>
    <col min="13576" max="13820" width="15.375" style="109"/>
    <col min="13821" max="13821" width="9.125" style="109" customWidth="1"/>
    <col min="13822" max="13822" width="33.125" style="109" customWidth="1"/>
    <col min="13823" max="13823" width="10.625" style="109" customWidth="1"/>
    <col min="13824" max="13824" width="13.125" style="109" customWidth="1"/>
    <col min="13825" max="13825" width="10.625" style="109" customWidth="1"/>
    <col min="13826" max="13826" width="15.5" style="109" customWidth="1"/>
    <col min="13827" max="13827" width="15.375" style="109" hidden="1" customWidth="1"/>
    <col min="13828" max="13828" width="31.125" style="109" customWidth="1"/>
    <col min="13829" max="13831" width="29.25" style="109" customWidth="1"/>
    <col min="13832" max="14076" width="15.375" style="109"/>
    <col min="14077" max="14077" width="9.125" style="109" customWidth="1"/>
    <col min="14078" max="14078" width="33.125" style="109" customWidth="1"/>
    <col min="14079" max="14079" width="10.625" style="109" customWidth="1"/>
    <col min="14080" max="14080" width="13.125" style="109" customWidth="1"/>
    <col min="14081" max="14081" width="10.625" style="109" customWidth="1"/>
    <col min="14082" max="14082" width="15.5" style="109" customWidth="1"/>
    <col min="14083" max="14083" width="15.375" style="109" hidden="1" customWidth="1"/>
    <col min="14084" max="14084" width="31.125" style="109" customWidth="1"/>
    <col min="14085" max="14087" width="29.25" style="109" customWidth="1"/>
    <col min="14088" max="14332" width="15.375" style="109"/>
    <col min="14333" max="14333" width="9.125" style="109" customWidth="1"/>
    <col min="14334" max="14334" width="33.125" style="109" customWidth="1"/>
    <col min="14335" max="14335" width="10.625" style="109" customWidth="1"/>
    <col min="14336" max="14336" width="13.125" style="109" customWidth="1"/>
    <col min="14337" max="14337" width="10.625" style="109" customWidth="1"/>
    <col min="14338" max="14338" width="15.5" style="109" customWidth="1"/>
    <col min="14339" max="14339" width="15.375" style="109" hidden="1" customWidth="1"/>
    <col min="14340" max="14340" width="31.125" style="109" customWidth="1"/>
    <col min="14341" max="14343" width="29.25" style="109" customWidth="1"/>
    <col min="14344" max="14588" width="15.375" style="109"/>
    <col min="14589" max="14589" width="9.125" style="109" customWidth="1"/>
    <col min="14590" max="14590" width="33.125" style="109" customWidth="1"/>
    <col min="14591" max="14591" width="10.625" style="109" customWidth="1"/>
    <col min="14592" max="14592" width="13.125" style="109" customWidth="1"/>
    <col min="14593" max="14593" width="10.625" style="109" customWidth="1"/>
    <col min="14594" max="14594" width="15.5" style="109" customWidth="1"/>
    <col min="14595" max="14595" width="15.375" style="109" hidden="1" customWidth="1"/>
    <col min="14596" max="14596" width="31.125" style="109" customWidth="1"/>
    <col min="14597" max="14599" width="29.25" style="109" customWidth="1"/>
    <col min="14600" max="14844" width="15.375" style="109"/>
    <col min="14845" max="14845" width="9.125" style="109" customWidth="1"/>
    <col min="14846" max="14846" width="33.125" style="109" customWidth="1"/>
    <col min="14847" max="14847" width="10.625" style="109" customWidth="1"/>
    <col min="14848" max="14848" width="13.125" style="109" customWidth="1"/>
    <col min="14849" max="14849" width="10.625" style="109" customWidth="1"/>
    <col min="14850" max="14850" width="15.5" style="109" customWidth="1"/>
    <col min="14851" max="14851" width="15.375" style="109" hidden="1" customWidth="1"/>
    <col min="14852" max="14852" width="31.125" style="109" customWidth="1"/>
    <col min="14853" max="14855" width="29.25" style="109" customWidth="1"/>
    <col min="14856" max="15100" width="15.375" style="109"/>
    <col min="15101" max="15101" width="9.125" style="109" customWidth="1"/>
    <col min="15102" max="15102" width="33.125" style="109" customWidth="1"/>
    <col min="15103" max="15103" width="10.625" style="109" customWidth="1"/>
    <col min="15104" max="15104" width="13.125" style="109" customWidth="1"/>
    <col min="15105" max="15105" width="10.625" style="109" customWidth="1"/>
    <col min="15106" max="15106" width="15.5" style="109" customWidth="1"/>
    <col min="15107" max="15107" width="15.375" style="109" hidden="1" customWidth="1"/>
    <col min="15108" max="15108" width="31.125" style="109" customWidth="1"/>
    <col min="15109" max="15111" width="29.25" style="109" customWidth="1"/>
    <col min="15112" max="15356" width="15.375" style="109"/>
    <col min="15357" max="15357" width="9.125" style="109" customWidth="1"/>
    <col min="15358" max="15358" width="33.125" style="109" customWidth="1"/>
    <col min="15359" max="15359" width="10.625" style="109" customWidth="1"/>
    <col min="15360" max="15360" width="13.125" style="109" customWidth="1"/>
    <col min="15361" max="15361" width="10.625" style="109" customWidth="1"/>
    <col min="15362" max="15362" width="15.5" style="109" customWidth="1"/>
    <col min="15363" max="15363" width="15.375" style="109" hidden="1" customWidth="1"/>
    <col min="15364" max="15364" width="31.125" style="109" customWidth="1"/>
    <col min="15365" max="15367" width="29.25" style="109" customWidth="1"/>
    <col min="15368" max="15612" width="15.375" style="109"/>
    <col min="15613" max="15613" width="9.125" style="109" customWidth="1"/>
    <col min="15614" max="15614" width="33.125" style="109" customWidth="1"/>
    <col min="15615" max="15615" width="10.625" style="109" customWidth="1"/>
    <col min="15616" max="15616" width="13.125" style="109" customWidth="1"/>
    <col min="15617" max="15617" width="10.625" style="109" customWidth="1"/>
    <col min="15618" max="15618" width="15.5" style="109" customWidth="1"/>
    <col min="15619" max="15619" width="15.375" style="109" hidden="1" customWidth="1"/>
    <col min="15620" max="15620" width="31.125" style="109" customWidth="1"/>
    <col min="15621" max="15623" width="29.25" style="109" customWidth="1"/>
    <col min="15624" max="15868" width="15.375" style="109"/>
    <col min="15869" max="15869" width="9.125" style="109" customWidth="1"/>
    <col min="15870" max="15870" width="33.125" style="109" customWidth="1"/>
    <col min="15871" max="15871" width="10.625" style="109" customWidth="1"/>
    <col min="15872" max="15872" width="13.125" style="109" customWidth="1"/>
    <col min="15873" max="15873" width="10.625" style="109" customWidth="1"/>
    <col min="15874" max="15874" width="15.5" style="109" customWidth="1"/>
    <col min="15875" max="15875" width="15.375" style="109" hidden="1" customWidth="1"/>
    <col min="15876" max="15876" width="31.125" style="109" customWidth="1"/>
    <col min="15877" max="15879" width="29.25" style="109" customWidth="1"/>
    <col min="15880" max="16124" width="15.375" style="109"/>
    <col min="16125" max="16125" width="9.125" style="109" customWidth="1"/>
    <col min="16126" max="16126" width="33.125" style="109" customWidth="1"/>
    <col min="16127" max="16127" width="10.625" style="109" customWidth="1"/>
    <col min="16128" max="16128" width="13.125" style="109" customWidth="1"/>
    <col min="16129" max="16129" width="10.625" style="109" customWidth="1"/>
    <col min="16130" max="16130" width="15.5" style="109" customWidth="1"/>
    <col min="16131" max="16131" width="15.375" style="109" hidden="1" customWidth="1"/>
    <col min="16132" max="16132" width="31.125" style="109" customWidth="1"/>
    <col min="16133" max="16135" width="29.25" style="109" customWidth="1"/>
    <col min="16136" max="16384" width="15.375" style="109"/>
  </cols>
  <sheetData>
    <row r="1" s="105" customFormat="1" ht="25" customHeight="1" spans="1:8">
      <c r="A1" s="110" t="s">
        <v>0</v>
      </c>
      <c r="B1" s="111"/>
      <c r="C1" s="111"/>
      <c r="D1" s="111"/>
      <c r="E1" s="111"/>
      <c r="F1" s="111"/>
      <c r="G1" s="111"/>
      <c r="H1" s="112"/>
    </row>
    <row r="2" s="106" customFormat="1" ht="18.75" spans="1:8">
      <c r="A2" s="113" t="s">
        <v>1</v>
      </c>
      <c r="B2" s="113" t="s">
        <v>2</v>
      </c>
      <c r="C2" s="113" t="s">
        <v>3</v>
      </c>
      <c r="D2" s="114"/>
      <c r="E2" s="114"/>
      <c r="F2" s="114"/>
      <c r="G2" s="113" t="s">
        <v>4</v>
      </c>
      <c r="H2" s="113" t="s">
        <v>5</v>
      </c>
    </row>
    <row r="3" s="106" customFormat="1" ht="26.25" spans="1:8">
      <c r="A3" s="114"/>
      <c r="B3" s="114"/>
      <c r="C3" s="113" t="s">
        <v>6</v>
      </c>
      <c r="D3" s="113" t="s">
        <v>7</v>
      </c>
      <c r="E3" s="113" t="s">
        <v>8</v>
      </c>
      <c r="F3" s="113" t="s">
        <v>9</v>
      </c>
      <c r="G3" s="114"/>
      <c r="H3" s="114"/>
    </row>
    <row r="4" s="107" customFormat="1" ht="19" customHeight="1" spans="1:8">
      <c r="A4" s="115" t="s">
        <v>10</v>
      </c>
      <c r="B4" s="116" t="s">
        <v>11</v>
      </c>
      <c r="C4" s="117">
        <f>C5+C12+C28+C55+C108+C111</f>
        <v>8560.543323</v>
      </c>
      <c r="D4" s="118">
        <f>D5+D12+D28+D55</f>
        <v>0</v>
      </c>
      <c r="E4" s="117">
        <v>0</v>
      </c>
      <c r="F4" s="119">
        <f>SUM(C4:E4)</f>
        <v>8560.543323</v>
      </c>
      <c r="G4" s="120">
        <f>F4/F125*100</f>
        <v>86.5103051627748</v>
      </c>
      <c r="H4" s="121"/>
    </row>
    <row r="5" s="107" customFormat="1" ht="19" customHeight="1" spans="1:13">
      <c r="A5" s="122">
        <v>1</v>
      </c>
      <c r="B5" s="123" t="s">
        <v>12</v>
      </c>
      <c r="C5" s="120">
        <f>C6+C7+C8+C9+C10+C11</f>
        <v>1607.105672</v>
      </c>
      <c r="D5" s="120"/>
      <c r="E5" s="120"/>
      <c r="F5" s="124">
        <f>C5</f>
        <v>1607.105672</v>
      </c>
      <c r="G5" s="121"/>
      <c r="H5" s="121"/>
      <c r="J5" s="132"/>
      <c r="M5" s="133"/>
    </row>
    <row r="6" s="107" customFormat="1" ht="19" customHeight="1" spans="1:13">
      <c r="A6" s="121">
        <v>1.1</v>
      </c>
      <c r="B6" s="125" t="s">
        <v>13</v>
      </c>
      <c r="C6" s="126">
        <f>7069232.56/10000</f>
        <v>706.923256</v>
      </c>
      <c r="D6" s="124"/>
      <c r="E6" s="124"/>
      <c r="F6" s="124">
        <f t="shared" ref="F6:F54" si="0">C6</f>
        <v>706.923256</v>
      </c>
      <c r="G6" s="121"/>
      <c r="H6" s="121"/>
      <c r="J6" s="132"/>
      <c r="M6" s="133"/>
    </row>
    <row r="7" s="107" customFormat="1" ht="19" customHeight="1" spans="1:13">
      <c r="A7" s="121">
        <v>1.2</v>
      </c>
      <c r="B7" s="125" t="s">
        <v>14</v>
      </c>
      <c r="C7" s="126">
        <f>4810610.64/10000</f>
        <v>481.061064</v>
      </c>
      <c r="D7" s="124"/>
      <c r="E7" s="124"/>
      <c r="F7" s="124">
        <f t="shared" si="0"/>
        <v>481.061064</v>
      </c>
      <c r="G7" s="121"/>
      <c r="H7" s="121"/>
      <c r="J7" s="132"/>
      <c r="M7" s="133"/>
    </row>
    <row r="8" s="107" customFormat="1" ht="19" customHeight="1" spans="1:13">
      <c r="A8" s="121">
        <v>1.3</v>
      </c>
      <c r="B8" s="125" t="s">
        <v>15</v>
      </c>
      <c r="C8" s="126">
        <f>1123110.94/10000</f>
        <v>112.311094</v>
      </c>
      <c r="D8" s="124"/>
      <c r="E8" s="124"/>
      <c r="F8" s="124">
        <f t="shared" si="0"/>
        <v>112.311094</v>
      </c>
      <c r="G8" s="121"/>
      <c r="H8" s="121"/>
      <c r="J8" s="132"/>
      <c r="M8" s="133"/>
    </row>
    <row r="9" s="107" customFormat="1" ht="19" customHeight="1" spans="1:13">
      <c r="A9" s="121">
        <v>1.4</v>
      </c>
      <c r="B9" s="125" t="s">
        <v>15</v>
      </c>
      <c r="C9" s="126">
        <f>1123110.94/10000</f>
        <v>112.311094</v>
      </c>
      <c r="D9" s="124"/>
      <c r="E9" s="124"/>
      <c r="F9" s="124">
        <f t="shared" si="0"/>
        <v>112.311094</v>
      </c>
      <c r="G9" s="121"/>
      <c r="H9" s="121"/>
      <c r="J9" s="132"/>
      <c r="M9" s="133"/>
    </row>
    <row r="10" s="107" customFormat="1" ht="19" customHeight="1" spans="1:13">
      <c r="A10" s="121">
        <v>1.5</v>
      </c>
      <c r="B10" s="125" t="s">
        <v>16</v>
      </c>
      <c r="C10" s="126">
        <f>28580.58/10000</f>
        <v>2.858058</v>
      </c>
      <c r="D10" s="120"/>
      <c r="E10" s="120"/>
      <c r="F10" s="124">
        <f t="shared" si="0"/>
        <v>2.858058</v>
      </c>
      <c r="G10" s="121"/>
      <c r="H10" s="121"/>
      <c r="J10" s="132"/>
      <c r="M10" s="133"/>
    </row>
    <row r="11" s="107" customFormat="1" ht="19" customHeight="1" spans="1:13">
      <c r="A11" s="121">
        <v>1.6</v>
      </c>
      <c r="B11" s="125" t="s">
        <v>17</v>
      </c>
      <c r="C11" s="126">
        <f>1916411.06/10000</f>
        <v>191.641106</v>
      </c>
      <c r="D11" s="120"/>
      <c r="E11" s="120"/>
      <c r="F11" s="124">
        <f t="shared" si="0"/>
        <v>191.641106</v>
      </c>
      <c r="G11" s="121"/>
      <c r="H11" s="121"/>
      <c r="J11" s="132"/>
      <c r="M11" s="133"/>
    </row>
    <row r="12" s="107" customFormat="1" ht="19" customHeight="1" spans="1:13">
      <c r="A12" s="122">
        <v>2</v>
      </c>
      <c r="B12" s="127" t="s">
        <v>18</v>
      </c>
      <c r="C12" s="120">
        <f>SUM(C13:C27)</f>
        <v>74.607396</v>
      </c>
      <c r="D12" s="120"/>
      <c r="E12" s="120"/>
      <c r="F12" s="120">
        <f t="shared" si="0"/>
        <v>74.607396</v>
      </c>
      <c r="G12" s="121"/>
      <c r="H12" s="121"/>
      <c r="J12" s="132"/>
      <c r="M12" s="133"/>
    </row>
    <row r="13" s="107" customFormat="1" ht="19" customHeight="1" spans="1:13">
      <c r="A13" s="121">
        <v>2.1</v>
      </c>
      <c r="B13" s="125" t="s">
        <v>19</v>
      </c>
      <c r="C13" s="126">
        <f>97404/10000</f>
        <v>9.7404</v>
      </c>
      <c r="D13" s="124"/>
      <c r="E13" s="124"/>
      <c r="F13" s="124">
        <f t="shared" si="0"/>
        <v>9.7404</v>
      </c>
      <c r="G13" s="121"/>
      <c r="H13" s="121"/>
      <c r="J13" s="132"/>
      <c r="M13" s="133"/>
    </row>
    <row r="14" s="107" customFormat="1" ht="19" customHeight="1" spans="1:13">
      <c r="A14" s="121">
        <v>2.2</v>
      </c>
      <c r="B14" s="125" t="s">
        <v>19</v>
      </c>
      <c r="C14" s="126">
        <f>102380.2/10000</f>
        <v>10.23802</v>
      </c>
      <c r="D14" s="124"/>
      <c r="E14" s="124"/>
      <c r="F14" s="124">
        <f t="shared" si="0"/>
        <v>10.23802</v>
      </c>
      <c r="G14" s="121"/>
      <c r="H14" s="121"/>
      <c r="J14" s="132"/>
      <c r="M14" s="133"/>
    </row>
    <row r="15" s="107" customFormat="1" ht="19" customHeight="1" spans="1:13">
      <c r="A15" s="121">
        <v>2.3</v>
      </c>
      <c r="B15" s="125" t="s">
        <v>19</v>
      </c>
      <c r="C15" s="126">
        <f>50789.2/10000</f>
        <v>5.07892</v>
      </c>
      <c r="D15" s="124"/>
      <c r="E15" s="124"/>
      <c r="F15" s="124">
        <f t="shared" si="0"/>
        <v>5.07892</v>
      </c>
      <c r="G15" s="121"/>
      <c r="H15" s="121"/>
      <c r="J15" s="132"/>
      <c r="M15" s="133"/>
    </row>
    <row r="16" s="107" customFormat="1" ht="19" customHeight="1" spans="1:13">
      <c r="A16" s="121">
        <v>2.4</v>
      </c>
      <c r="B16" s="125" t="s">
        <v>20</v>
      </c>
      <c r="C16" s="126">
        <f>30416/10000</f>
        <v>3.0416</v>
      </c>
      <c r="D16" s="124"/>
      <c r="E16" s="124"/>
      <c r="F16" s="124">
        <f t="shared" si="0"/>
        <v>3.0416</v>
      </c>
      <c r="G16" s="121"/>
      <c r="H16" s="121"/>
      <c r="J16" s="132"/>
      <c r="M16" s="133"/>
    </row>
    <row r="17" s="107" customFormat="1" ht="19" customHeight="1" spans="1:13">
      <c r="A17" s="121">
        <v>2.5</v>
      </c>
      <c r="B17" s="125" t="s">
        <v>20</v>
      </c>
      <c r="C17" s="126">
        <f>49885.52/10000</f>
        <v>4.988552</v>
      </c>
      <c r="D17" s="124"/>
      <c r="E17" s="124"/>
      <c r="F17" s="124">
        <f t="shared" si="0"/>
        <v>4.988552</v>
      </c>
      <c r="G17" s="121"/>
      <c r="H17" s="121"/>
      <c r="J17" s="132"/>
      <c r="M17" s="133"/>
    </row>
    <row r="18" s="107" customFormat="1" ht="19" customHeight="1" spans="1:13">
      <c r="A18" s="121">
        <v>2.6</v>
      </c>
      <c r="B18" s="125" t="s">
        <v>20</v>
      </c>
      <c r="C18" s="126">
        <f>64888.32/10000</f>
        <v>6.488832</v>
      </c>
      <c r="D18" s="124"/>
      <c r="E18" s="124"/>
      <c r="F18" s="124">
        <f t="shared" si="0"/>
        <v>6.488832</v>
      </c>
      <c r="G18" s="121"/>
      <c r="H18" s="121"/>
      <c r="J18" s="132"/>
      <c r="M18" s="133"/>
    </row>
    <row r="19" s="107" customFormat="1" ht="19" customHeight="1" spans="1:13">
      <c r="A19" s="121">
        <v>2.7</v>
      </c>
      <c r="B19" s="125" t="s">
        <v>21</v>
      </c>
      <c r="C19" s="126">
        <f>8111.2/10000</f>
        <v>0.81112</v>
      </c>
      <c r="D19" s="124"/>
      <c r="E19" s="124"/>
      <c r="F19" s="124">
        <f t="shared" si="0"/>
        <v>0.81112</v>
      </c>
      <c r="G19" s="121"/>
      <c r="H19" s="121"/>
      <c r="J19" s="132"/>
      <c r="M19" s="133"/>
    </row>
    <row r="20" s="107" customFormat="1" ht="19" customHeight="1" spans="1:13">
      <c r="A20" s="121">
        <v>2.8</v>
      </c>
      <c r="B20" s="125" t="s">
        <v>21</v>
      </c>
      <c r="C20" s="126">
        <f>12470.56/10000</f>
        <v>1.247056</v>
      </c>
      <c r="D20" s="124"/>
      <c r="E20" s="124"/>
      <c r="F20" s="124">
        <f t="shared" si="0"/>
        <v>1.247056</v>
      </c>
      <c r="G20" s="121"/>
      <c r="H20" s="121"/>
      <c r="J20" s="132"/>
      <c r="M20" s="133"/>
    </row>
    <row r="21" s="107" customFormat="1" ht="19" customHeight="1" spans="1:13">
      <c r="A21" s="121">
        <v>2.9</v>
      </c>
      <c r="B21" s="125" t="s">
        <v>21</v>
      </c>
      <c r="C21" s="126">
        <f>16222.72/10000</f>
        <v>1.622272</v>
      </c>
      <c r="D21" s="124"/>
      <c r="E21" s="124"/>
      <c r="F21" s="124">
        <f t="shared" si="0"/>
        <v>1.622272</v>
      </c>
      <c r="G21" s="121"/>
      <c r="H21" s="121"/>
      <c r="J21" s="132"/>
      <c r="M21" s="133"/>
    </row>
    <row r="22" s="107" customFormat="1" ht="19" customHeight="1" spans="1:13">
      <c r="A22" s="128">
        <v>2.1</v>
      </c>
      <c r="B22" s="125" t="s">
        <v>22</v>
      </c>
      <c r="C22" s="126">
        <f>11780.8/10000</f>
        <v>1.17808</v>
      </c>
      <c r="D22" s="124"/>
      <c r="E22" s="124"/>
      <c r="F22" s="124">
        <f t="shared" si="0"/>
        <v>1.17808</v>
      </c>
      <c r="G22" s="121"/>
      <c r="H22" s="121"/>
      <c r="J22" s="132"/>
      <c r="M22" s="133"/>
    </row>
    <row r="23" s="107" customFormat="1" ht="19" customHeight="1" spans="1:13">
      <c r="A23" s="121">
        <v>2.11</v>
      </c>
      <c r="B23" s="125" t="s">
        <v>22</v>
      </c>
      <c r="C23" s="126">
        <f>20406.52/10000</f>
        <v>2.040652</v>
      </c>
      <c r="D23" s="124"/>
      <c r="E23" s="124"/>
      <c r="F23" s="124">
        <f t="shared" si="0"/>
        <v>2.040652</v>
      </c>
      <c r="G23" s="121"/>
      <c r="H23" s="121"/>
      <c r="J23" s="132"/>
      <c r="M23" s="133"/>
    </row>
    <row r="24" s="107" customFormat="1" ht="19" customHeight="1" spans="1:13">
      <c r="A24" s="121">
        <v>2.12</v>
      </c>
      <c r="B24" s="125" t="s">
        <v>22</v>
      </c>
      <c r="C24" s="126">
        <f>29585.92/10000</f>
        <v>2.958592</v>
      </c>
      <c r="D24" s="124"/>
      <c r="E24" s="124"/>
      <c r="F24" s="124">
        <f t="shared" si="0"/>
        <v>2.958592</v>
      </c>
      <c r="G24" s="121"/>
      <c r="H24" s="121"/>
      <c r="J24" s="132"/>
      <c r="M24" s="133"/>
    </row>
    <row r="25" s="107" customFormat="1" ht="19" customHeight="1" spans="1:13">
      <c r="A25" s="121">
        <v>2.13</v>
      </c>
      <c r="B25" s="125" t="s">
        <v>22</v>
      </c>
      <c r="C25" s="126">
        <f>62956/10000</f>
        <v>6.2956</v>
      </c>
      <c r="D25" s="124"/>
      <c r="E25" s="124"/>
      <c r="F25" s="124">
        <f t="shared" si="0"/>
        <v>6.2956</v>
      </c>
      <c r="G25" s="121"/>
      <c r="H25" s="121"/>
      <c r="J25" s="132"/>
      <c r="M25" s="133"/>
    </row>
    <row r="26" s="107" customFormat="1" ht="19" customHeight="1" spans="1:13">
      <c r="A26" s="121">
        <v>2.14</v>
      </c>
      <c r="B26" s="125" t="s">
        <v>22</v>
      </c>
      <c r="C26" s="126">
        <f>149216.5/10000</f>
        <v>14.92165</v>
      </c>
      <c r="D26" s="124"/>
      <c r="E26" s="124"/>
      <c r="F26" s="124">
        <f t="shared" si="0"/>
        <v>14.92165</v>
      </c>
      <c r="G26" s="121"/>
      <c r="H26" s="121"/>
      <c r="J26" s="132"/>
      <c r="M26" s="133"/>
    </row>
    <row r="27" s="107" customFormat="1" ht="19" customHeight="1" spans="1:13">
      <c r="A27" s="121">
        <v>2.15</v>
      </c>
      <c r="B27" s="125" t="s">
        <v>22</v>
      </c>
      <c r="C27" s="126">
        <f>39560.5/10000</f>
        <v>3.95605</v>
      </c>
      <c r="D27" s="124"/>
      <c r="E27" s="124"/>
      <c r="F27" s="124">
        <f t="shared" si="0"/>
        <v>3.95605</v>
      </c>
      <c r="G27" s="121"/>
      <c r="H27" s="121"/>
      <c r="J27" s="132"/>
      <c r="M27" s="133"/>
    </row>
    <row r="28" s="107" customFormat="1" ht="19" customHeight="1" spans="1:13">
      <c r="A28" s="122">
        <v>3</v>
      </c>
      <c r="B28" s="127" t="s">
        <v>23</v>
      </c>
      <c r="C28" s="120">
        <f>SUM(C29:C54)</f>
        <v>421.777275</v>
      </c>
      <c r="D28" s="124"/>
      <c r="E28" s="124"/>
      <c r="F28" s="120">
        <f t="shared" si="0"/>
        <v>421.777275</v>
      </c>
      <c r="G28" s="121"/>
      <c r="H28" s="121"/>
      <c r="J28" s="132"/>
      <c r="M28" s="133"/>
    </row>
    <row r="29" s="107" customFormat="1" ht="19" customHeight="1" spans="1:12">
      <c r="A29" s="121">
        <v>3.1</v>
      </c>
      <c r="B29" s="125" t="s">
        <v>24</v>
      </c>
      <c r="C29" s="126">
        <f>0.0001*9360</f>
        <v>0.936</v>
      </c>
      <c r="D29" s="121"/>
      <c r="E29" s="121"/>
      <c r="F29" s="124">
        <f t="shared" si="0"/>
        <v>0.936</v>
      </c>
      <c r="G29" s="120"/>
      <c r="H29" s="121"/>
      <c r="L29" s="134"/>
    </row>
    <row r="30" s="107" customFormat="1" ht="19" customHeight="1" spans="1:12">
      <c r="A30" s="121">
        <v>3.2</v>
      </c>
      <c r="B30" s="125" t="s">
        <v>24</v>
      </c>
      <c r="C30" s="126">
        <f>0.0001*14155</f>
        <v>1.4155</v>
      </c>
      <c r="D30" s="121"/>
      <c r="E30" s="121"/>
      <c r="F30" s="124">
        <f t="shared" si="0"/>
        <v>1.4155</v>
      </c>
      <c r="G30" s="120"/>
      <c r="H30" s="121"/>
      <c r="L30" s="134"/>
    </row>
    <row r="31" s="107" customFormat="1" ht="19" customHeight="1" spans="1:12">
      <c r="A31" s="121">
        <v>3.3</v>
      </c>
      <c r="B31" s="125" t="s">
        <v>24</v>
      </c>
      <c r="C31" s="126">
        <f>0.0001*39636</f>
        <v>3.9636</v>
      </c>
      <c r="D31" s="129"/>
      <c r="E31" s="118"/>
      <c r="F31" s="124">
        <f t="shared" si="0"/>
        <v>3.9636</v>
      </c>
      <c r="G31" s="120"/>
      <c r="H31" s="121"/>
      <c r="L31" s="134"/>
    </row>
    <row r="32" s="107" customFormat="1" ht="19" customHeight="1" spans="1:12">
      <c r="A32" s="121">
        <v>3.4</v>
      </c>
      <c r="B32" s="125" t="s">
        <v>24</v>
      </c>
      <c r="C32" s="126">
        <f>0.0001*26424</f>
        <v>2.6424</v>
      </c>
      <c r="D32" s="129"/>
      <c r="E32" s="118"/>
      <c r="F32" s="124">
        <f t="shared" si="0"/>
        <v>2.6424</v>
      </c>
      <c r="G32" s="120"/>
      <c r="H32" s="121"/>
      <c r="L32" s="134"/>
    </row>
    <row r="33" s="107" customFormat="1" ht="19" customHeight="1" spans="1:12">
      <c r="A33" s="121">
        <v>3.5</v>
      </c>
      <c r="B33" s="125" t="s">
        <v>25</v>
      </c>
      <c r="C33" s="126">
        <f>0.0001*21579.88</f>
        <v>2.157988</v>
      </c>
      <c r="D33" s="129"/>
      <c r="E33" s="118"/>
      <c r="F33" s="124">
        <f t="shared" si="0"/>
        <v>2.157988</v>
      </c>
      <c r="G33" s="120"/>
      <c r="H33" s="121"/>
      <c r="L33" s="134"/>
    </row>
    <row r="34" s="107" customFormat="1" ht="19" customHeight="1" spans="1:12">
      <c r="A34" s="121">
        <v>3.6</v>
      </c>
      <c r="B34" s="125" t="s">
        <v>25</v>
      </c>
      <c r="C34" s="126">
        <f>0.0001*72130.24</f>
        <v>7.213024</v>
      </c>
      <c r="D34" s="129"/>
      <c r="E34" s="118"/>
      <c r="F34" s="124">
        <f t="shared" si="0"/>
        <v>7.213024</v>
      </c>
      <c r="G34" s="120"/>
      <c r="H34" s="121"/>
      <c r="L34" s="134"/>
    </row>
    <row r="35" s="107" customFormat="1" ht="19" customHeight="1" spans="1:12">
      <c r="A35" s="121">
        <v>3.7</v>
      </c>
      <c r="B35" s="125" t="s">
        <v>26</v>
      </c>
      <c r="C35" s="126">
        <f>0.0001*163530</f>
        <v>16.353</v>
      </c>
      <c r="D35" s="129"/>
      <c r="E35" s="118"/>
      <c r="F35" s="124">
        <f t="shared" si="0"/>
        <v>16.353</v>
      </c>
      <c r="G35" s="120"/>
      <c r="H35" s="121"/>
      <c r="L35" s="134"/>
    </row>
    <row r="36" s="107" customFormat="1" ht="19" customHeight="1" spans="1:12">
      <c r="A36" s="121">
        <v>3.8</v>
      </c>
      <c r="B36" s="125" t="s">
        <v>27</v>
      </c>
      <c r="C36" s="126">
        <f>0.0001*162.24</f>
        <v>0.016224</v>
      </c>
      <c r="D36" s="129"/>
      <c r="E36" s="118"/>
      <c r="F36" s="124">
        <f t="shared" si="0"/>
        <v>0.016224</v>
      </c>
      <c r="G36" s="120"/>
      <c r="H36" s="121"/>
      <c r="L36" s="134"/>
    </row>
    <row r="37" s="107" customFormat="1" ht="19" customHeight="1" spans="1:12">
      <c r="A37" s="121">
        <v>3.9</v>
      </c>
      <c r="B37" s="125" t="s">
        <v>27</v>
      </c>
      <c r="C37" s="126">
        <f>0.0001*316.9</f>
        <v>0.03169</v>
      </c>
      <c r="D37" s="129"/>
      <c r="E37" s="118"/>
      <c r="F37" s="124">
        <f t="shared" si="0"/>
        <v>0.03169</v>
      </c>
      <c r="G37" s="120"/>
      <c r="H37" s="121"/>
      <c r="L37" s="134"/>
    </row>
    <row r="38" s="107" customFormat="1" ht="19" customHeight="1" spans="1:12">
      <c r="A38" s="121">
        <v>3.1</v>
      </c>
      <c r="B38" s="125" t="s">
        <v>27</v>
      </c>
      <c r="C38" s="126">
        <f>0.0001*729.72</f>
        <v>0.072972</v>
      </c>
      <c r="D38" s="129"/>
      <c r="E38" s="118"/>
      <c r="F38" s="124">
        <f t="shared" si="0"/>
        <v>0.072972</v>
      </c>
      <c r="G38" s="120"/>
      <c r="H38" s="121"/>
      <c r="L38" s="134"/>
    </row>
    <row r="39" s="107" customFormat="1" ht="19" customHeight="1" spans="1:12">
      <c r="A39" s="121">
        <v>3.11</v>
      </c>
      <c r="B39" s="125" t="s">
        <v>27</v>
      </c>
      <c r="C39" s="126">
        <f>0.0001*273.6</f>
        <v>0.02736</v>
      </c>
      <c r="D39" s="118"/>
      <c r="E39" s="118"/>
      <c r="F39" s="124">
        <f t="shared" si="0"/>
        <v>0.02736</v>
      </c>
      <c r="G39" s="120"/>
      <c r="H39" s="121"/>
      <c r="L39" s="134"/>
    </row>
    <row r="40" s="107" customFormat="1" ht="19" customHeight="1" spans="1:12">
      <c r="A40" s="121">
        <v>3.12</v>
      </c>
      <c r="B40" s="125" t="s">
        <v>28</v>
      </c>
      <c r="C40" s="126">
        <f>0.0001*9546</f>
        <v>0.9546</v>
      </c>
      <c r="D40" s="118"/>
      <c r="E40" s="118"/>
      <c r="F40" s="124">
        <f t="shared" si="0"/>
        <v>0.9546</v>
      </c>
      <c r="G40" s="120"/>
      <c r="H40" s="121"/>
      <c r="L40" s="134"/>
    </row>
    <row r="41" s="107" customFormat="1" ht="19" customHeight="1" spans="1:12">
      <c r="A41" s="121">
        <v>3.13</v>
      </c>
      <c r="B41" s="130" t="s">
        <v>29</v>
      </c>
      <c r="C41" s="126">
        <f>0.0001*9546</f>
        <v>0.9546</v>
      </c>
      <c r="D41" s="118"/>
      <c r="E41" s="118"/>
      <c r="F41" s="124">
        <f t="shared" si="0"/>
        <v>0.9546</v>
      </c>
      <c r="G41" s="120"/>
      <c r="H41" s="121"/>
      <c r="L41" s="134"/>
    </row>
    <row r="42" s="107" customFormat="1" ht="19" customHeight="1" spans="1:12">
      <c r="A42" s="121">
        <v>3.14</v>
      </c>
      <c r="B42" s="125" t="s">
        <v>30</v>
      </c>
      <c r="C42" s="126">
        <f>0.0001*42794.57</f>
        <v>4.279457</v>
      </c>
      <c r="D42" s="118"/>
      <c r="E42" s="118"/>
      <c r="F42" s="124">
        <f t="shared" si="0"/>
        <v>4.279457</v>
      </c>
      <c r="G42" s="120"/>
      <c r="H42" s="121"/>
      <c r="L42" s="134"/>
    </row>
    <row r="43" s="107" customFormat="1" ht="19" customHeight="1" spans="1:12">
      <c r="A43" s="121">
        <v>3.15</v>
      </c>
      <c r="B43" s="125" t="s">
        <v>30</v>
      </c>
      <c r="C43" s="126">
        <f>0.0001*146288.38</f>
        <v>14.628838</v>
      </c>
      <c r="D43" s="118"/>
      <c r="E43" s="118"/>
      <c r="F43" s="124">
        <f t="shared" si="0"/>
        <v>14.628838</v>
      </c>
      <c r="G43" s="120"/>
      <c r="H43" s="121"/>
      <c r="L43" s="134"/>
    </row>
    <row r="44" s="107" customFormat="1" ht="19" customHeight="1" spans="1:12">
      <c r="A44" s="121">
        <v>3.16</v>
      </c>
      <c r="B44" s="125" t="s">
        <v>30</v>
      </c>
      <c r="C44" s="126">
        <f>0.0001*28502.95</f>
        <v>2.850295</v>
      </c>
      <c r="D44" s="118"/>
      <c r="E44" s="118"/>
      <c r="F44" s="124">
        <f t="shared" si="0"/>
        <v>2.850295</v>
      </c>
      <c r="G44" s="120"/>
      <c r="H44" s="121"/>
      <c r="L44" s="134"/>
    </row>
    <row r="45" s="107" customFormat="1" ht="19" customHeight="1" spans="1:12">
      <c r="A45" s="121">
        <v>3.17</v>
      </c>
      <c r="B45" s="125" t="s">
        <v>30</v>
      </c>
      <c r="C45" s="126">
        <f>0.0001*29305.85</f>
        <v>2.930585</v>
      </c>
      <c r="D45" s="118"/>
      <c r="E45" s="118"/>
      <c r="F45" s="124">
        <f t="shared" si="0"/>
        <v>2.930585</v>
      </c>
      <c r="G45" s="120"/>
      <c r="H45" s="121"/>
      <c r="L45" s="134"/>
    </row>
    <row r="46" s="107" customFormat="1" ht="19" customHeight="1" spans="1:12">
      <c r="A46" s="121">
        <v>3.18</v>
      </c>
      <c r="B46" s="125" t="s">
        <v>31</v>
      </c>
      <c r="C46" s="126">
        <f>0.0001*174389.88</f>
        <v>17.438988</v>
      </c>
      <c r="D46" s="118"/>
      <c r="E46" s="118"/>
      <c r="F46" s="124">
        <f t="shared" si="0"/>
        <v>17.438988</v>
      </c>
      <c r="G46" s="120"/>
      <c r="H46" s="121"/>
      <c r="L46" s="134"/>
    </row>
    <row r="47" s="107" customFormat="1" ht="19" customHeight="1" spans="1:12">
      <c r="A47" s="121">
        <v>3.19</v>
      </c>
      <c r="B47" s="125" t="s">
        <v>32</v>
      </c>
      <c r="C47" s="126">
        <f>0.0001*898926.84</f>
        <v>89.892684</v>
      </c>
      <c r="D47" s="118"/>
      <c r="E47" s="118"/>
      <c r="F47" s="124">
        <f t="shared" si="0"/>
        <v>89.892684</v>
      </c>
      <c r="G47" s="120"/>
      <c r="H47" s="121"/>
      <c r="L47" s="134"/>
    </row>
    <row r="48" s="107" customFormat="1" ht="19" customHeight="1" spans="1:12">
      <c r="A48" s="121">
        <v>3.2</v>
      </c>
      <c r="B48" s="125" t="s">
        <v>33</v>
      </c>
      <c r="C48" s="126">
        <f>0.0001*21116.27</f>
        <v>2.111627</v>
      </c>
      <c r="D48" s="118"/>
      <c r="E48" s="118"/>
      <c r="F48" s="124">
        <f t="shared" si="0"/>
        <v>2.111627</v>
      </c>
      <c r="G48" s="120"/>
      <c r="H48" s="121"/>
      <c r="L48" s="134"/>
    </row>
    <row r="49" s="107" customFormat="1" ht="19" customHeight="1" spans="1:12">
      <c r="A49" s="121">
        <v>3.21</v>
      </c>
      <c r="B49" s="125" t="s">
        <v>34</v>
      </c>
      <c r="C49" s="126">
        <f>0.0001*484710.73</f>
        <v>48.471073</v>
      </c>
      <c r="D49" s="118"/>
      <c r="E49" s="118"/>
      <c r="F49" s="124">
        <f t="shared" si="0"/>
        <v>48.471073</v>
      </c>
      <c r="G49" s="120"/>
      <c r="H49" s="121"/>
      <c r="L49" s="134"/>
    </row>
    <row r="50" s="107" customFormat="1" ht="19" customHeight="1" spans="1:12">
      <c r="A50" s="121">
        <v>3.22</v>
      </c>
      <c r="B50" s="125" t="s">
        <v>34</v>
      </c>
      <c r="C50" s="126">
        <f>0.0001*750229.76</f>
        <v>75.022976</v>
      </c>
      <c r="D50" s="118"/>
      <c r="E50" s="118"/>
      <c r="F50" s="124">
        <f t="shared" si="0"/>
        <v>75.022976</v>
      </c>
      <c r="G50" s="120"/>
      <c r="H50" s="121"/>
      <c r="L50" s="134"/>
    </row>
    <row r="51" s="107" customFormat="1" ht="19" customHeight="1" spans="1:12">
      <c r="A51" s="121">
        <v>3.23</v>
      </c>
      <c r="B51" s="125" t="s">
        <v>35</v>
      </c>
      <c r="C51" s="126">
        <f>0.0001*35407.89</f>
        <v>3.540789</v>
      </c>
      <c r="D51" s="118"/>
      <c r="E51" s="118"/>
      <c r="F51" s="124">
        <f t="shared" si="0"/>
        <v>3.540789</v>
      </c>
      <c r="G51" s="120"/>
      <c r="H51" s="121"/>
      <c r="L51" s="134"/>
    </row>
    <row r="52" s="107" customFormat="1" ht="19" customHeight="1" spans="1:12">
      <c r="A52" s="121">
        <v>3.24</v>
      </c>
      <c r="B52" s="125" t="s">
        <v>36</v>
      </c>
      <c r="C52" s="126">
        <f>0.0001*245902</f>
        <v>24.5902</v>
      </c>
      <c r="D52" s="118"/>
      <c r="E52" s="118"/>
      <c r="F52" s="124">
        <f t="shared" si="0"/>
        <v>24.5902</v>
      </c>
      <c r="G52" s="120"/>
      <c r="H52" s="121"/>
      <c r="L52" s="134"/>
    </row>
    <row r="53" s="107" customFormat="1" ht="19" customHeight="1" spans="1:12">
      <c r="A53" s="121">
        <v>3.25</v>
      </c>
      <c r="B53" s="125" t="s">
        <v>37</v>
      </c>
      <c r="C53" s="126">
        <f>0.0001*922389.65</f>
        <v>92.238965</v>
      </c>
      <c r="D53" s="118"/>
      <c r="E53" s="118"/>
      <c r="F53" s="124">
        <f t="shared" si="0"/>
        <v>92.238965</v>
      </c>
      <c r="G53" s="120"/>
      <c r="H53" s="121"/>
      <c r="L53" s="134"/>
    </row>
    <row r="54" s="107" customFormat="1" ht="19" customHeight="1" spans="1:12">
      <c r="A54" s="121">
        <v>3.26</v>
      </c>
      <c r="B54" s="125" t="s">
        <v>31</v>
      </c>
      <c r="C54" s="126">
        <f>0.0001*70418.4</f>
        <v>7.04184</v>
      </c>
      <c r="D54" s="118"/>
      <c r="E54" s="118"/>
      <c r="F54" s="124">
        <f t="shared" si="0"/>
        <v>7.04184</v>
      </c>
      <c r="G54" s="120"/>
      <c r="H54" s="121"/>
      <c r="L54" s="134"/>
    </row>
    <row r="55" s="107" customFormat="1" ht="19" customHeight="1" spans="1:12">
      <c r="A55" s="122">
        <v>4</v>
      </c>
      <c r="B55" s="131" t="s">
        <v>38</v>
      </c>
      <c r="C55" s="120">
        <f>SUM(C56:C107)</f>
        <v>4554.28415</v>
      </c>
      <c r="D55" s="118"/>
      <c r="E55" s="118"/>
      <c r="F55" s="120">
        <f t="shared" ref="F55:F71" si="1">C55</f>
        <v>4554.28415</v>
      </c>
      <c r="G55" s="120"/>
      <c r="H55" s="121"/>
      <c r="L55" s="134"/>
    </row>
    <row r="56" s="107" customFormat="1" ht="19" customHeight="1" spans="1:12">
      <c r="A56" s="121">
        <v>4.1</v>
      </c>
      <c r="B56" s="125" t="s">
        <v>24</v>
      </c>
      <c r="C56" s="126">
        <f>0.0001*144612</f>
        <v>14.4612</v>
      </c>
      <c r="D56" s="124"/>
      <c r="E56" s="118"/>
      <c r="F56" s="124">
        <f t="shared" si="1"/>
        <v>14.4612</v>
      </c>
      <c r="G56" s="120"/>
      <c r="H56" s="121"/>
      <c r="L56" s="134"/>
    </row>
    <row r="57" s="107" customFormat="1" ht="19" customHeight="1" spans="1:12">
      <c r="A57" s="121">
        <v>4.2</v>
      </c>
      <c r="B57" s="125" t="s">
        <v>24</v>
      </c>
      <c r="C57" s="126">
        <f>0.0001*218694.75</f>
        <v>21.869475</v>
      </c>
      <c r="D57" s="124"/>
      <c r="E57" s="118"/>
      <c r="F57" s="124">
        <f t="shared" si="1"/>
        <v>21.869475</v>
      </c>
      <c r="G57" s="120"/>
      <c r="H57" s="121"/>
      <c r="L57" s="134"/>
    </row>
    <row r="58" s="107" customFormat="1" ht="19" customHeight="1" spans="1:12">
      <c r="A58" s="121">
        <v>4.3</v>
      </c>
      <c r="B58" s="125" t="s">
        <v>24</v>
      </c>
      <c r="C58" s="126">
        <f>0.0001*238146.3</f>
        <v>23.81463</v>
      </c>
      <c r="D58" s="124"/>
      <c r="E58" s="118"/>
      <c r="F58" s="124">
        <f t="shared" si="1"/>
        <v>23.81463</v>
      </c>
      <c r="G58" s="120"/>
      <c r="H58" s="121"/>
      <c r="L58" s="134"/>
    </row>
    <row r="59" s="107" customFormat="1" ht="19" customHeight="1" spans="1:12">
      <c r="A59" s="121">
        <v>4.4</v>
      </c>
      <c r="B59" s="125" t="s">
        <v>24</v>
      </c>
      <c r="C59" s="126">
        <f>0.0001*204125.4</f>
        <v>20.41254</v>
      </c>
      <c r="D59" s="124"/>
      <c r="E59" s="118"/>
      <c r="F59" s="124">
        <f t="shared" si="1"/>
        <v>20.41254</v>
      </c>
      <c r="G59" s="120"/>
      <c r="H59" s="121"/>
      <c r="L59" s="134"/>
    </row>
    <row r="60" s="107" customFormat="1" ht="19" customHeight="1" spans="1:12">
      <c r="A60" s="121">
        <v>4.5</v>
      </c>
      <c r="B60" s="125" t="s">
        <v>25</v>
      </c>
      <c r="C60" s="126">
        <f>0.0001*4220.24</f>
        <v>0.422024</v>
      </c>
      <c r="D60" s="124"/>
      <c r="E60" s="118"/>
      <c r="F60" s="124">
        <f t="shared" si="1"/>
        <v>0.422024</v>
      </c>
      <c r="G60" s="120"/>
      <c r="H60" s="121"/>
      <c r="L60" s="134"/>
    </row>
    <row r="61" s="107" customFormat="1" ht="19" customHeight="1" spans="1:12">
      <c r="A61" s="121">
        <v>4.6</v>
      </c>
      <c r="B61" s="125" t="s">
        <v>25</v>
      </c>
      <c r="C61" s="126">
        <f>0.0001*33590.25</f>
        <v>3.359025</v>
      </c>
      <c r="D61" s="124"/>
      <c r="E61" s="118"/>
      <c r="F61" s="124">
        <f t="shared" si="1"/>
        <v>3.359025</v>
      </c>
      <c r="G61" s="120"/>
      <c r="H61" s="121"/>
      <c r="L61" s="134"/>
    </row>
    <row r="62" s="107" customFormat="1" ht="19" customHeight="1" spans="1:12">
      <c r="A62" s="121">
        <v>4.7</v>
      </c>
      <c r="B62" s="125" t="s">
        <v>26</v>
      </c>
      <c r="C62" s="126">
        <f>0.0001*844905</f>
        <v>84.4905</v>
      </c>
      <c r="D62" s="124"/>
      <c r="E62" s="118"/>
      <c r="F62" s="124">
        <f t="shared" si="1"/>
        <v>84.4905</v>
      </c>
      <c r="G62" s="120"/>
      <c r="H62" s="121"/>
      <c r="L62" s="134"/>
    </row>
    <row r="63" s="107" customFormat="1" ht="19" customHeight="1" spans="1:12">
      <c r="A63" s="121">
        <v>4.8</v>
      </c>
      <c r="B63" s="125" t="s">
        <v>27</v>
      </c>
      <c r="C63" s="126">
        <f>0.0001*2636.4</f>
        <v>0.26364</v>
      </c>
      <c r="D63" s="124"/>
      <c r="E63" s="118"/>
      <c r="F63" s="124">
        <f t="shared" si="1"/>
        <v>0.26364</v>
      </c>
      <c r="G63" s="120"/>
      <c r="H63" s="121"/>
      <c r="L63" s="134"/>
    </row>
    <row r="64" s="107" customFormat="1" ht="19" customHeight="1" spans="1:12">
      <c r="A64" s="121">
        <v>4.9</v>
      </c>
      <c r="B64" s="125" t="s">
        <v>27</v>
      </c>
      <c r="C64" s="126">
        <f>0.0001*5070.4</f>
        <v>0.50704</v>
      </c>
      <c r="D64" s="124"/>
      <c r="E64" s="118"/>
      <c r="F64" s="124">
        <f t="shared" si="1"/>
        <v>0.50704</v>
      </c>
      <c r="G64" s="120"/>
      <c r="H64" s="121"/>
      <c r="L64" s="134"/>
    </row>
    <row r="65" s="107" customFormat="1" ht="19" customHeight="1" spans="1:12">
      <c r="A65" s="124">
        <v>4.1</v>
      </c>
      <c r="B65" s="125" t="s">
        <v>27</v>
      </c>
      <c r="C65" s="126">
        <f>0.0001*4459.4</f>
        <v>0.44594</v>
      </c>
      <c r="D65" s="124"/>
      <c r="E65" s="118"/>
      <c r="F65" s="124">
        <f t="shared" si="1"/>
        <v>0.44594</v>
      </c>
      <c r="G65" s="120"/>
      <c r="H65" s="121"/>
      <c r="L65" s="134"/>
    </row>
    <row r="66" s="107" customFormat="1" ht="19" customHeight="1" spans="1:12">
      <c r="A66" s="124">
        <v>4.11</v>
      </c>
      <c r="B66" s="125" t="s">
        <v>27</v>
      </c>
      <c r="C66" s="126">
        <f>0.0001*2166</f>
        <v>0.2166</v>
      </c>
      <c r="D66" s="124"/>
      <c r="E66" s="118"/>
      <c r="F66" s="124">
        <f t="shared" si="1"/>
        <v>0.2166</v>
      </c>
      <c r="G66" s="120"/>
      <c r="H66" s="121"/>
      <c r="L66" s="134"/>
    </row>
    <row r="67" s="107" customFormat="1" ht="19" customHeight="1" spans="1:12">
      <c r="A67" s="121">
        <v>4.12</v>
      </c>
      <c r="B67" s="125" t="s">
        <v>28</v>
      </c>
      <c r="C67" s="126">
        <f>0.0001*79722</f>
        <v>7.9722</v>
      </c>
      <c r="D67" s="129"/>
      <c r="E67" s="118"/>
      <c r="F67" s="124">
        <f t="shared" si="1"/>
        <v>7.9722</v>
      </c>
      <c r="G67" s="120"/>
      <c r="H67" s="121"/>
      <c r="L67" s="134"/>
    </row>
    <row r="68" s="107" customFormat="1" ht="19" customHeight="1" spans="1:12">
      <c r="A68" s="121">
        <v>4.13</v>
      </c>
      <c r="B68" s="130" t="s">
        <v>29</v>
      </c>
      <c r="C68" s="126">
        <f>0.0001*79722</f>
        <v>7.9722</v>
      </c>
      <c r="D68" s="129"/>
      <c r="E68" s="118"/>
      <c r="F68" s="124">
        <f t="shared" si="1"/>
        <v>7.9722</v>
      </c>
      <c r="G68" s="120"/>
      <c r="H68" s="121"/>
      <c r="L68" s="134"/>
    </row>
    <row r="69" s="107" customFormat="1" ht="19" customHeight="1" spans="1:12">
      <c r="A69" s="121">
        <v>4.14</v>
      </c>
      <c r="B69" s="125" t="s">
        <v>19</v>
      </c>
      <c r="C69" s="126">
        <f>0.0001*1334434.8</f>
        <v>133.44348</v>
      </c>
      <c r="D69" s="129"/>
      <c r="E69" s="118"/>
      <c r="F69" s="124">
        <f t="shared" si="1"/>
        <v>133.44348</v>
      </c>
      <c r="G69" s="120"/>
      <c r="H69" s="121"/>
      <c r="L69" s="134"/>
    </row>
    <row r="70" s="107" customFormat="1" ht="19" customHeight="1" spans="1:12">
      <c r="A70" s="121">
        <v>4.15</v>
      </c>
      <c r="B70" s="125" t="s">
        <v>19</v>
      </c>
      <c r="C70" s="126">
        <f>0.0001*871443.3</f>
        <v>87.14433</v>
      </c>
      <c r="D70" s="129"/>
      <c r="E70" s="118"/>
      <c r="F70" s="124">
        <f t="shared" si="1"/>
        <v>87.14433</v>
      </c>
      <c r="G70" s="120"/>
      <c r="H70" s="121"/>
      <c r="L70" s="134"/>
    </row>
    <row r="71" s="107" customFormat="1" ht="19" customHeight="1" spans="1:12">
      <c r="A71" s="121">
        <v>4.16</v>
      </c>
      <c r="B71" s="125" t="s">
        <v>19</v>
      </c>
      <c r="C71" s="126">
        <f>0.0001*1036152.04</f>
        <v>103.615204</v>
      </c>
      <c r="D71" s="129"/>
      <c r="E71" s="118"/>
      <c r="F71" s="124">
        <f t="shared" si="1"/>
        <v>103.615204</v>
      </c>
      <c r="G71" s="120"/>
      <c r="H71" s="121"/>
      <c r="L71" s="134"/>
    </row>
    <row r="72" s="107" customFormat="1" ht="19" customHeight="1" spans="1:12">
      <c r="A72" s="121">
        <v>4.17</v>
      </c>
      <c r="B72" s="125" t="s">
        <v>20</v>
      </c>
      <c r="C72" s="126">
        <f>0.0001*247130</f>
        <v>24.713</v>
      </c>
      <c r="D72" s="129"/>
      <c r="E72" s="118"/>
      <c r="F72" s="124">
        <f t="shared" ref="F72:F111" si="2">C72</f>
        <v>24.713</v>
      </c>
      <c r="G72" s="120"/>
      <c r="H72" s="121"/>
      <c r="L72" s="134"/>
    </row>
    <row r="73" s="107" customFormat="1" ht="19" customHeight="1" spans="1:12">
      <c r="A73" s="121">
        <v>4.18</v>
      </c>
      <c r="B73" s="125" t="s">
        <v>20</v>
      </c>
      <c r="C73" s="126">
        <f>0.0001*365016</f>
        <v>36.5016</v>
      </c>
      <c r="D73" s="129"/>
      <c r="E73" s="118"/>
      <c r="F73" s="124">
        <f t="shared" si="2"/>
        <v>36.5016</v>
      </c>
      <c r="G73" s="120"/>
      <c r="H73" s="121"/>
      <c r="L73" s="134"/>
    </row>
    <row r="74" s="107" customFormat="1" ht="19" customHeight="1" spans="1:12">
      <c r="A74" s="121">
        <v>4.19</v>
      </c>
      <c r="B74" s="125" t="s">
        <v>20</v>
      </c>
      <c r="C74" s="126">
        <f>0.0001*468919.5</f>
        <v>46.89195</v>
      </c>
      <c r="D74" s="129"/>
      <c r="E74" s="118"/>
      <c r="F74" s="124">
        <f t="shared" si="2"/>
        <v>46.89195</v>
      </c>
      <c r="G74" s="120"/>
      <c r="H74" s="121"/>
      <c r="L74" s="134"/>
    </row>
    <row r="75" s="107" customFormat="1" ht="19" customHeight="1" spans="1:12">
      <c r="A75" s="124">
        <v>4.2</v>
      </c>
      <c r="B75" s="125" t="s">
        <v>21</v>
      </c>
      <c r="C75" s="126">
        <f>0.0001*131807</f>
        <v>13.1807</v>
      </c>
      <c r="D75" s="129"/>
      <c r="E75" s="118"/>
      <c r="F75" s="124">
        <f t="shared" si="2"/>
        <v>13.1807</v>
      </c>
      <c r="G75" s="120"/>
      <c r="H75" s="121"/>
      <c r="L75" s="134"/>
    </row>
    <row r="76" s="107" customFormat="1" ht="19" customHeight="1" spans="1:12">
      <c r="A76" s="121">
        <v>4.21</v>
      </c>
      <c r="B76" s="125" t="s">
        <v>21</v>
      </c>
      <c r="C76" s="126">
        <f>0.0001*281348</f>
        <v>28.1348</v>
      </c>
      <c r="D76" s="129"/>
      <c r="E76" s="118"/>
      <c r="F76" s="124">
        <f t="shared" si="2"/>
        <v>28.1348</v>
      </c>
      <c r="G76" s="120"/>
      <c r="H76" s="121"/>
      <c r="L76" s="134"/>
    </row>
    <row r="77" s="107" customFormat="1" ht="19" customHeight="1" spans="1:12">
      <c r="A77" s="121">
        <v>4.22</v>
      </c>
      <c r="B77" s="125" t="s">
        <v>21</v>
      </c>
      <c r="C77" s="126">
        <f>0.0001*164762</f>
        <v>16.4762</v>
      </c>
      <c r="D77" s="129"/>
      <c r="E77" s="118"/>
      <c r="F77" s="124">
        <f t="shared" si="2"/>
        <v>16.4762</v>
      </c>
      <c r="G77" s="120"/>
      <c r="H77" s="121"/>
      <c r="L77" s="134"/>
    </row>
    <row r="78" s="107" customFormat="1" ht="19" customHeight="1" spans="1:12">
      <c r="A78" s="121">
        <v>4.23</v>
      </c>
      <c r="B78" s="125" t="s">
        <v>22</v>
      </c>
      <c r="C78" s="126">
        <f>0.0001*95719</f>
        <v>9.5719</v>
      </c>
      <c r="D78" s="129"/>
      <c r="E78" s="118"/>
      <c r="F78" s="124">
        <f t="shared" si="2"/>
        <v>9.5719</v>
      </c>
      <c r="G78" s="120"/>
      <c r="H78" s="121"/>
      <c r="L78" s="134"/>
    </row>
    <row r="79" s="107" customFormat="1" ht="19" customHeight="1" spans="1:12">
      <c r="A79" s="121">
        <v>4.24</v>
      </c>
      <c r="B79" s="125" t="s">
        <v>22</v>
      </c>
      <c r="C79" s="126">
        <f>0.0001*149316</f>
        <v>14.9316</v>
      </c>
      <c r="D79" s="129"/>
      <c r="E79" s="118"/>
      <c r="F79" s="124">
        <f t="shared" si="2"/>
        <v>14.9316</v>
      </c>
      <c r="G79" s="120"/>
      <c r="H79" s="121"/>
      <c r="L79" s="134"/>
    </row>
    <row r="80" s="107" customFormat="1" ht="19" customHeight="1" spans="1:12">
      <c r="A80" s="121">
        <v>4.25</v>
      </c>
      <c r="B80" s="125" t="s">
        <v>22</v>
      </c>
      <c r="C80" s="126">
        <f>0.0001*213804.5</f>
        <v>21.38045</v>
      </c>
      <c r="D80" s="129"/>
      <c r="E80" s="118"/>
      <c r="F80" s="124">
        <f t="shared" si="2"/>
        <v>21.38045</v>
      </c>
      <c r="G80" s="120"/>
      <c r="H80" s="121"/>
      <c r="L80" s="134"/>
    </row>
    <row r="81" s="107" customFormat="1" ht="19" customHeight="1" spans="1:12">
      <c r="A81" s="121">
        <v>4.26</v>
      </c>
      <c r="B81" s="125" t="s">
        <v>22</v>
      </c>
      <c r="C81" s="126">
        <f>0.0001*459717.2</f>
        <v>45.97172</v>
      </c>
      <c r="D81" s="129"/>
      <c r="E81" s="118"/>
      <c r="F81" s="124">
        <f t="shared" si="2"/>
        <v>45.97172</v>
      </c>
      <c r="G81" s="120"/>
      <c r="H81" s="121"/>
      <c r="L81" s="134"/>
    </row>
    <row r="82" s="107" customFormat="1" ht="19" customHeight="1" spans="1:12">
      <c r="A82" s="121">
        <v>4.27</v>
      </c>
      <c r="B82" s="125" t="s">
        <v>22</v>
      </c>
      <c r="C82" s="126">
        <f>0.0001*804505.1</f>
        <v>80.45051</v>
      </c>
      <c r="D82" s="129"/>
      <c r="E82" s="118"/>
      <c r="F82" s="124">
        <f t="shared" si="2"/>
        <v>80.45051</v>
      </c>
      <c r="G82" s="120"/>
      <c r="H82" s="121"/>
      <c r="L82" s="134"/>
    </row>
    <row r="83" s="107" customFormat="1" ht="19" customHeight="1" spans="1:12">
      <c r="A83" s="121">
        <v>4.28</v>
      </c>
      <c r="B83" s="125" t="s">
        <v>22</v>
      </c>
      <c r="C83" s="126">
        <f>0.0001*1034363.7</f>
        <v>103.43637</v>
      </c>
      <c r="D83" s="129"/>
      <c r="E83" s="118"/>
      <c r="F83" s="124">
        <f t="shared" si="2"/>
        <v>103.43637</v>
      </c>
      <c r="G83" s="120"/>
      <c r="H83" s="121"/>
      <c r="L83" s="134"/>
    </row>
    <row r="84" s="107" customFormat="1" ht="19" customHeight="1" spans="1:12">
      <c r="A84" s="121">
        <v>4.29</v>
      </c>
      <c r="B84" s="125" t="s">
        <v>13</v>
      </c>
      <c r="C84" s="126">
        <f>0.0001*280743.75</f>
        <v>28.074375</v>
      </c>
      <c r="D84" s="129"/>
      <c r="E84" s="118"/>
      <c r="F84" s="124">
        <f t="shared" si="2"/>
        <v>28.074375</v>
      </c>
      <c r="G84" s="120"/>
      <c r="H84" s="121"/>
      <c r="L84" s="134"/>
    </row>
    <row r="85" s="107" customFormat="1" ht="19" customHeight="1" spans="1:12">
      <c r="A85" s="124">
        <v>4.3</v>
      </c>
      <c r="B85" s="125" t="s">
        <v>14</v>
      </c>
      <c r="C85" s="126">
        <f>0.0001*1104172.5</f>
        <v>110.41725</v>
      </c>
      <c r="D85" s="129"/>
      <c r="E85" s="118"/>
      <c r="F85" s="124">
        <f t="shared" si="2"/>
        <v>110.41725</v>
      </c>
      <c r="G85" s="120"/>
      <c r="H85" s="121"/>
      <c r="L85" s="134"/>
    </row>
    <row r="86" s="107" customFormat="1" ht="19" customHeight="1" spans="1:12">
      <c r="A86" s="121">
        <v>4.31</v>
      </c>
      <c r="B86" s="125" t="s">
        <v>15</v>
      </c>
      <c r="C86" s="126">
        <f>0.0001*640578.75</f>
        <v>64.057875</v>
      </c>
      <c r="D86" s="129"/>
      <c r="E86" s="118"/>
      <c r="F86" s="124">
        <f t="shared" si="2"/>
        <v>64.057875</v>
      </c>
      <c r="G86" s="120"/>
      <c r="H86" s="121"/>
      <c r="L86" s="134"/>
    </row>
    <row r="87" s="107" customFormat="1" ht="19" customHeight="1" spans="1:12">
      <c r="A87" s="121">
        <v>4.32</v>
      </c>
      <c r="B87" s="125" t="s">
        <v>15</v>
      </c>
      <c r="C87" s="126">
        <f>0.0001*640578.75</f>
        <v>64.057875</v>
      </c>
      <c r="D87" s="129"/>
      <c r="E87" s="118"/>
      <c r="F87" s="124">
        <f t="shared" si="2"/>
        <v>64.057875</v>
      </c>
      <c r="G87" s="120"/>
      <c r="H87" s="121"/>
      <c r="L87" s="134"/>
    </row>
    <row r="88" s="107" customFormat="1" ht="19" customHeight="1" spans="1:12">
      <c r="A88" s="121">
        <v>4.33</v>
      </c>
      <c r="B88" s="125" t="s">
        <v>16</v>
      </c>
      <c r="C88" s="126">
        <f>0.0001*16301.25</f>
        <v>1.630125</v>
      </c>
      <c r="D88" s="129"/>
      <c r="E88" s="118"/>
      <c r="F88" s="124">
        <f t="shared" si="2"/>
        <v>1.630125</v>
      </c>
      <c r="G88" s="120"/>
      <c r="H88" s="121"/>
      <c r="L88" s="134"/>
    </row>
    <row r="89" s="107" customFormat="1" ht="19" customHeight="1" spans="1:12">
      <c r="A89" s="121">
        <v>4.34</v>
      </c>
      <c r="B89" s="125" t="s">
        <v>39</v>
      </c>
      <c r="C89" s="126">
        <f>0.0001*452208.75</f>
        <v>45.220875</v>
      </c>
      <c r="D89" s="129"/>
      <c r="E89" s="118"/>
      <c r="F89" s="124">
        <f t="shared" si="2"/>
        <v>45.220875</v>
      </c>
      <c r="G89" s="120"/>
      <c r="H89" s="121"/>
      <c r="L89" s="134"/>
    </row>
    <row r="90" s="107" customFormat="1" ht="19" customHeight="1" spans="1:12">
      <c r="A90" s="121">
        <v>4.35</v>
      </c>
      <c r="B90" s="125" t="s">
        <v>13</v>
      </c>
      <c r="C90" s="126">
        <f>0.0001*280743.75</f>
        <v>28.074375</v>
      </c>
      <c r="D90" s="129"/>
      <c r="E90" s="118"/>
      <c r="F90" s="124">
        <f t="shared" si="2"/>
        <v>28.074375</v>
      </c>
      <c r="G90" s="120"/>
      <c r="H90" s="121"/>
      <c r="L90" s="134"/>
    </row>
    <row r="91" s="107" customFormat="1" ht="19" customHeight="1" spans="1:12">
      <c r="A91" s="121">
        <v>4.36</v>
      </c>
      <c r="B91" s="125" t="s">
        <v>13</v>
      </c>
      <c r="C91" s="126">
        <f>0.0001*280743.75</f>
        <v>28.074375</v>
      </c>
      <c r="D91" s="129"/>
      <c r="E91" s="118"/>
      <c r="F91" s="124">
        <f t="shared" si="2"/>
        <v>28.074375</v>
      </c>
      <c r="G91" s="120"/>
      <c r="H91" s="121"/>
      <c r="L91" s="134"/>
    </row>
    <row r="92" s="107" customFormat="1" ht="19" customHeight="1" spans="1:12">
      <c r="A92" s="121">
        <v>4.37</v>
      </c>
      <c r="B92" s="125" t="s">
        <v>40</v>
      </c>
      <c r="C92" s="126">
        <f>0.0001*1475651.25</f>
        <v>147.565125</v>
      </c>
      <c r="D92" s="129"/>
      <c r="E92" s="118"/>
      <c r="F92" s="124">
        <f t="shared" si="2"/>
        <v>147.565125</v>
      </c>
      <c r="G92" s="120"/>
      <c r="H92" s="121"/>
      <c r="L92" s="134"/>
    </row>
    <row r="93" s="107" customFormat="1" ht="19" customHeight="1" spans="1:12">
      <c r="A93" s="121">
        <v>4.38</v>
      </c>
      <c r="B93" s="125" t="s">
        <v>40</v>
      </c>
      <c r="C93" s="126">
        <f>0.0001*1093046.25</f>
        <v>109.304625</v>
      </c>
      <c r="D93" s="129"/>
      <c r="E93" s="118"/>
      <c r="F93" s="124">
        <f t="shared" si="2"/>
        <v>109.304625</v>
      </c>
      <c r="G93" s="120"/>
      <c r="H93" s="121"/>
      <c r="L93" s="134"/>
    </row>
    <row r="94" s="107" customFormat="1" ht="19" customHeight="1" spans="1:12">
      <c r="A94" s="121">
        <v>4.39</v>
      </c>
      <c r="B94" s="125" t="s">
        <v>40</v>
      </c>
      <c r="C94" s="126">
        <f>0.0001*3279397.5</f>
        <v>327.93975</v>
      </c>
      <c r="D94" s="129"/>
      <c r="E94" s="118"/>
      <c r="F94" s="124">
        <f t="shared" si="2"/>
        <v>327.93975</v>
      </c>
      <c r="G94" s="120"/>
      <c r="H94" s="121"/>
      <c r="L94" s="134"/>
    </row>
    <row r="95" s="107" customFormat="1" ht="19" customHeight="1" spans="1:12">
      <c r="A95" s="124">
        <v>4.4</v>
      </c>
      <c r="B95" s="125" t="s">
        <v>30</v>
      </c>
      <c r="C95" s="126">
        <f>0.0001*357392.49</f>
        <v>35.739249</v>
      </c>
      <c r="D95" s="129"/>
      <c r="E95" s="118"/>
      <c r="F95" s="124">
        <f t="shared" si="2"/>
        <v>35.739249</v>
      </c>
      <c r="G95" s="120"/>
      <c r="H95" s="121"/>
      <c r="L95" s="134"/>
    </row>
    <row r="96" s="107" customFormat="1" ht="19" customHeight="1" spans="1:12">
      <c r="A96" s="121">
        <v>4.41</v>
      </c>
      <c r="B96" s="125" t="s">
        <v>30</v>
      </c>
      <c r="C96" s="126">
        <f>0.0001*1221705.66</f>
        <v>122.170566</v>
      </c>
      <c r="D96" s="129"/>
      <c r="E96" s="118"/>
      <c r="F96" s="124">
        <f t="shared" si="2"/>
        <v>122.170566</v>
      </c>
      <c r="G96" s="120"/>
      <c r="H96" s="121"/>
      <c r="L96" s="134"/>
    </row>
    <row r="97" s="107" customFormat="1" ht="19" customHeight="1" spans="1:12">
      <c r="A97" s="121">
        <v>4.42</v>
      </c>
      <c r="B97" s="125" t="s">
        <v>30</v>
      </c>
      <c r="C97" s="126">
        <f>0.0001*204032.7</f>
        <v>20.40327</v>
      </c>
      <c r="D97" s="129"/>
      <c r="E97" s="118"/>
      <c r="F97" s="124">
        <f t="shared" si="2"/>
        <v>20.40327</v>
      </c>
      <c r="G97" s="120"/>
      <c r="H97" s="121"/>
      <c r="L97" s="134"/>
    </row>
    <row r="98" s="107" customFormat="1" ht="19" customHeight="1" spans="1:12">
      <c r="A98" s="121">
        <v>4.43</v>
      </c>
      <c r="B98" s="125" t="s">
        <v>30</v>
      </c>
      <c r="C98" s="126">
        <f>0.0001*209780.1</f>
        <v>20.97801</v>
      </c>
      <c r="D98" s="129"/>
      <c r="E98" s="118"/>
      <c r="F98" s="124">
        <f t="shared" si="2"/>
        <v>20.97801</v>
      </c>
      <c r="G98" s="120"/>
      <c r="H98" s="121"/>
      <c r="L98" s="134"/>
    </row>
    <row r="99" s="107" customFormat="1" ht="19" customHeight="1" spans="1:12">
      <c r="A99" s="121">
        <v>4.44</v>
      </c>
      <c r="B99" s="125" t="s">
        <v>31</v>
      </c>
      <c r="C99" s="126">
        <f>0.0001*2080558.8</f>
        <v>208.05588</v>
      </c>
      <c r="D99" s="129"/>
      <c r="E99" s="118"/>
      <c r="F99" s="124">
        <f t="shared" si="2"/>
        <v>208.05588</v>
      </c>
      <c r="G99" s="120"/>
      <c r="H99" s="121"/>
      <c r="L99" s="134"/>
    </row>
    <row r="100" s="107" customFormat="1" ht="19" customHeight="1" spans="1:12">
      <c r="A100" s="121">
        <v>4.45</v>
      </c>
      <c r="B100" s="125" t="s">
        <v>32</v>
      </c>
      <c r="C100" s="126">
        <f>0.0001*7507253.88</f>
        <v>750.725388</v>
      </c>
      <c r="D100" s="129"/>
      <c r="E100" s="118"/>
      <c r="F100" s="124">
        <f t="shared" si="2"/>
        <v>750.725388</v>
      </c>
      <c r="G100" s="120"/>
      <c r="H100" s="121"/>
      <c r="L100" s="134"/>
    </row>
    <row r="101" s="107" customFormat="1" ht="19" customHeight="1" spans="1:12">
      <c r="A101" s="121">
        <v>4.46</v>
      </c>
      <c r="B101" s="125" t="s">
        <v>33</v>
      </c>
      <c r="C101" s="126">
        <f>0.0001*176349.39</f>
        <v>17.634939</v>
      </c>
      <c r="D101" s="129"/>
      <c r="E101" s="118"/>
      <c r="F101" s="124">
        <f t="shared" si="2"/>
        <v>17.634939</v>
      </c>
      <c r="G101" s="120"/>
      <c r="H101" s="121"/>
      <c r="L101" s="134"/>
    </row>
    <row r="102" s="107" customFormat="1" ht="19" customHeight="1" spans="1:12">
      <c r="A102" s="121">
        <v>4.47</v>
      </c>
      <c r="B102" s="125" t="s">
        <v>34</v>
      </c>
      <c r="C102" s="126">
        <f>0.0001*4047989.61</f>
        <v>404.798961</v>
      </c>
      <c r="D102" s="129"/>
      <c r="E102" s="118"/>
      <c r="F102" s="124">
        <f t="shared" si="2"/>
        <v>404.798961</v>
      </c>
      <c r="G102" s="120"/>
      <c r="H102" s="121"/>
      <c r="L102" s="134"/>
    </row>
    <row r="103" s="107" customFormat="1" ht="19" customHeight="1" spans="1:12">
      <c r="A103" s="121">
        <v>4.48</v>
      </c>
      <c r="B103" s="125" t="s">
        <v>34</v>
      </c>
      <c r="C103" s="126">
        <f>0.0001*6265432.32</f>
        <v>626.543232</v>
      </c>
      <c r="D103" s="129"/>
      <c r="E103" s="118"/>
      <c r="F103" s="124">
        <f t="shared" si="2"/>
        <v>626.543232</v>
      </c>
      <c r="G103" s="120"/>
      <c r="H103" s="121"/>
      <c r="L103" s="134"/>
    </row>
    <row r="104" s="107" customFormat="1" ht="19" customHeight="1" spans="1:12">
      <c r="A104" s="121">
        <v>4.49</v>
      </c>
      <c r="B104" s="125" t="s">
        <v>35</v>
      </c>
      <c r="C104" s="126">
        <f>0.0001*295703.73</f>
        <v>29.570373</v>
      </c>
      <c r="D104" s="129"/>
      <c r="E104" s="118"/>
      <c r="F104" s="124">
        <f t="shared" si="2"/>
        <v>29.570373</v>
      </c>
      <c r="G104" s="120"/>
      <c r="H104" s="121"/>
      <c r="L104" s="134"/>
    </row>
    <row r="105" s="107" customFormat="1" ht="19" customHeight="1" spans="1:12">
      <c r="A105" s="124">
        <v>4.5</v>
      </c>
      <c r="B105" s="125" t="s">
        <v>36</v>
      </c>
      <c r="C105" s="126">
        <f>0.0001*2053614</f>
        <v>205.3614</v>
      </c>
      <c r="D105" s="129"/>
      <c r="E105" s="118"/>
      <c r="F105" s="124">
        <f t="shared" si="2"/>
        <v>205.3614</v>
      </c>
      <c r="G105" s="120"/>
      <c r="H105" s="121"/>
      <c r="L105" s="134"/>
    </row>
    <row r="106" s="107" customFormat="1" ht="19" customHeight="1" spans="1:12">
      <c r="A106" s="121">
        <v>4.51</v>
      </c>
      <c r="B106" s="125" t="s">
        <v>37</v>
      </c>
      <c r="C106" s="126">
        <f>0.0001*1706555.09</f>
        <v>170.655509</v>
      </c>
      <c r="D106" s="129"/>
      <c r="E106" s="118"/>
      <c r="F106" s="124">
        <f t="shared" si="2"/>
        <v>170.655509</v>
      </c>
      <c r="G106" s="120"/>
      <c r="H106" s="121"/>
      <c r="L106" s="134"/>
    </row>
    <row r="107" s="107" customFormat="1" ht="19" customHeight="1" spans="1:12">
      <c r="A107" s="121">
        <v>4.52</v>
      </c>
      <c r="B107" s="125" t="s">
        <v>31</v>
      </c>
      <c r="C107" s="126">
        <f>0.0001*351799.2</f>
        <v>35.17992</v>
      </c>
      <c r="D107" s="129"/>
      <c r="E107" s="118"/>
      <c r="F107" s="124">
        <f t="shared" si="2"/>
        <v>35.17992</v>
      </c>
      <c r="G107" s="120"/>
      <c r="H107" s="121"/>
      <c r="L107" s="134"/>
    </row>
    <row r="108" s="107" customFormat="1" ht="19" customHeight="1" spans="1:12">
      <c r="A108" s="122">
        <v>5</v>
      </c>
      <c r="B108" s="131" t="s">
        <v>41</v>
      </c>
      <c r="C108" s="135">
        <f>SUM(C109:C110)</f>
        <v>87.02103</v>
      </c>
      <c r="D108" s="129"/>
      <c r="E108" s="118"/>
      <c r="F108" s="120">
        <f t="shared" si="2"/>
        <v>87.02103</v>
      </c>
      <c r="G108" s="120"/>
      <c r="H108" s="121"/>
      <c r="L108" s="134"/>
    </row>
    <row r="109" s="107" customFormat="1" ht="19" customHeight="1" spans="1:12">
      <c r="A109" s="121">
        <v>5.1</v>
      </c>
      <c r="B109" s="125" t="s">
        <v>14</v>
      </c>
      <c r="C109" s="126">
        <f>0.0001*404569</f>
        <v>40.4569</v>
      </c>
      <c r="D109" s="129"/>
      <c r="E109" s="118"/>
      <c r="F109" s="124">
        <f t="shared" si="2"/>
        <v>40.4569</v>
      </c>
      <c r="G109" s="120"/>
      <c r="H109" s="121"/>
      <c r="L109" s="134"/>
    </row>
    <row r="110" s="107" customFormat="1" ht="19" customHeight="1" spans="1:12">
      <c r="A110" s="121">
        <v>5.2</v>
      </c>
      <c r="B110" s="125" t="s">
        <v>14</v>
      </c>
      <c r="C110" s="126">
        <f>0.0001*465641.3</f>
        <v>46.56413</v>
      </c>
      <c r="D110" s="129"/>
      <c r="E110" s="118"/>
      <c r="F110" s="124">
        <f t="shared" si="2"/>
        <v>46.56413</v>
      </c>
      <c r="G110" s="120"/>
      <c r="H110" s="121"/>
      <c r="L110" s="134"/>
    </row>
    <row r="111" s="107" customFormat="1" ht="19" customHeight="1" spans="1:12">
      <c r="A111" s="122">
        <v>6</v>
      </c>
      <c r="B111" s="136" t="s">
        <v>42</v>
      </c>
      <c r="C111" s="135">
        <f>18157478/10000</f>
        <v>1815.7478</v>
      </c>
      <c r="D111" s="129"/>
      <c r="E111" s="118"/>
      <c r="F111" s="124">
        <f t="shared" si="2"/>
        <v>1815.7478</v>
      </c>
      <c r="G111" s="120"/>
      <c r="H111" s="121"/>
      <c r="L111" s="134"/>
    </row>
    <row r="112" s="107" customFormat="1" ht="19" customHeight="1" spans="1:12">
      <c r="A112" s="127" t="s">
        <v>43</v>
      </c>
      <c r="B112" s="131" t="s">
        <v>44</v>
      </c>
      <c r="C112" s="118"/>
      <c r="D112" s="129"/>
      <c r="E112" s="137">
        <f>F112</f>
        <v>863.65</v>
      </c>
      <c r="F112" s="137">
        <f>SUM(E113:E123)</f>
        <v>863.65</v>
      </c>
      <c r="G112" s="120">
        <f>F112/F125*100</f>
        <v>8.72779007532048</v>
      </c>
      <c r="H112" s="121"/>
      <c r="L112" s="134"/>
    </row>
    <row r="113" s="108" customFormat="1" ht="19" customHeight="1" spans="1:13">
      <c r="A113" s="121">
        <v>1</v>
      </c>
      <c r="B113" s="138" t="s">
        <v>45</v>
      </c>
      <c r="C113" s="139"/>
      <c r="D113" s="139"/>
      <c r="E113" s="140">
        <v>128</v>
      </c>
      <c r="F113" s="140">
        <f>E113</f>
        <v>128</v>
      </c>
      <c r="G113" s="139"/>
      <c r="H113" s="141" t="s">
        <v>46</v>
      </c>
      <c r="I113" s="152"/>
      <c r="L113" s="153"/>
      <c r="M113" s="153"/>
    </row>
    <row r="114" s="108" customFormat="1" ht="19" customHeight="1" spans="1:13">
      <c r="A114" s="121">
        <v>2</v>
      </c>
      <c r="B114" s="138" t="s">
        <v>47</v>
      </c>
      <c r="C114" s="139"/>
      <c r="D114" s="139"/>
      <c r="E114" s="140">
        <v>1.35</v>
      </c>
      <c r="F114" s="140">
        <f t="shared" ref="F114:F127" si="3">E114</f>
        <v>1.35</v>
      </c>
      <c r="G114" s="139"/>
      <c r="H114" s="141" t="s">
        <v>48</v>
      </c>
      <c r="I114" s="152"/>
      <c r="L114" s="153"/>
      <c r="M114" s="153"/>
    </row>
    <row r="115" s="108" customFormat="1" ht="19" customHeight="1" spans="1:13">
      <c r="A115" s="121">
        <v>3</v>
      </c>
      <c r="B115" s="138" t="s">
        <v>49</v>
      </c>
      <c r="C115" s="139"/>
      <c r="D115" s="139"/>
      <c r="E115" s="142">
        <v>21</v>
      </c>
      <c r="F115" s="140">
        <f t="shared" si="3"/>
        <v>21</v>
      </c>
      <c r="G115" s="139"/>
      <c r="H115" s="141" t="s">
        <v>50</v>
      </c>
      <c r="I115" s="152"/>
      <c r="L115" s="153"/>
      <c r="M115" s="153"/>
    </row>
    <row r="116" s="108" customFormat="1" ht="19" customHeight="1" spans="1:13">
      <c r="A116" s="121">
        <v>4</v>
      </c>
      <c r="B116" s="138" t="s">
        <v>51</v>
      </c>
      <c r="C116" s="139"/>
      <c r="D116" s="139"/>
      <c r="E116" s="140">
        <v>256</v>
      </c>
      <c r="F116" s="140">
        <f t="shared" si="3"/>
        <v>256</v>
      </c>
      <c r="G116" s="139"/>
      <c r="H116" s="143" t="s">
        <v>52</v>
      </c>
      <c r="I116" s="152"/>
      <c r="L116" s="153"/>
      <c r="M116" s="153"/>
    </row>
    <row r="117" s="108" customFormat="1" ht="19" customHeight="1" spans="1:9">
      <c r="A117" s="121">
        <v>5</v>
      </c>
      <c r="B117" s="138" t="s">
        <v>53</v>
      </c>
      <c r="C117" s="139"/>
      <c r="D117" s="139"/>
      <c r="E117" s="140">
        <v>68.3</v>
      </c>
      <c r="F117" s="140">
        <f t="shared" si="3"/>
        <v>68.3</v>
      </c>
      <c r="G117" s="139"/>
      <c r="H117" s="139" t="s">
        <v>54</v>
      </c>
      <c r="I117" s="152"/>
    </row>
    <row r="118" s="108" customFormat="1" ht="19" customHeight="1" spans="1:9">
      <c r="A118" s="121">
        <v>6</v>
      </c>
      <c r="B118" s="138" t="s">
        <v>55</v>
      </c>
      <c r="C118" s="139"/>
      <c r="D118" s="139"/>
      <c r="E118" s="140">
        <v>15</v>
      </c>
      <c r="F118" s="140">
        <f t="shared" si="3"/>
        <v>15</v>
      </c>
      <c r="G118" s="139"/>
      <c r="H118" s="121"/>
      <c r="I118" s="152"/>
    </row>
    <row r="119" s="108" customFormat="1" ht="19" customHeight="1" spans="1:9">
      <c r="A119" s="121">
        <v>7</v>
      </c>
      <c r="B119" s="138" t="s">
        <v>56</v>
      </c>
      <c r="C119" s="139"/>
      <c r="D119" s="139"/>
      <c r="E119" s="140">
        <v>41</v>
      </c>
      <c r="F119" s="140">
        <f t="shared" si="3"/>
        <v>41</v>
      </c>
      <c r="G119" s="139"/>
      <c r="H119" s="138" t="s">
        <v>57</v>
      </c>
      <c r="I119" s="152"/>
    </row>
    <row r="120" s="108" customFormat="1" ht="19" customHeight="1" spans="1:13">
      <c r="A120" s="121">
        <v>8</v>
      </c>
      <c r="B120" s="138" t="s">
        <v>58</v>
      </c>
      <c r="C120" s="139"/>
      <c r="D120" s="139"/>
      <c r="E120" s="142">
        <v>256</v>
      </c>
      <c r="F120" s="140">
        <f t="shared" si="3"/>
        <v>256</v>
      </c>
      <c r="G120" s="139"/>
      <c r="H120" s="138" t="s">
        <v>57</v>
      </c>
      <c r="I120" s="152"/>
      <c r="M120" s="154"/>
    </row>
    <row r="121" s="108" customFormat="1" ht="19" customHeight="1" spans="1:9">
      <c r="A121" s="121">
        <v>9</v>
      </c>
      <c r="B121" s="138" t="s">
        <v>59</v>
      </c>
      <c r="C121" s="139"/>
      <c r="D121" s="139"/>
      <c r="E121" s="140">
        <v>42</v>
      </c>
      <c r="F121" s="140">
        <f t="shared" si="3"/>
        <v>42</v>
      </c>
      <c r="G121" s="139"/>
      <c r="H121" s="138" t="s">
        <v>60</v>
      </c>
      <c r="I121" s="152"/>
    </row>
    <row r="122" s="108" customFormat="1" ht="19" customHeight="1" spans="1:9">
      <c r="A122" s="121">
        <v>12</v>
      </c>
      <c r="B122" s="138" t="s">
        <v>61</v>
      </c>
      <c r="C122" s="144"/>
      <c r="D122" s="139"/>
      <c r="E122" s="140">
        <v>10</v>
      </c>
      <c r="F122" s="140">
        <f t="shared" si="3"/>
        <v>10</v>
      </c>
      <c r="G122" s="124"/>
      <c r="H122" s="121"/>
      <c r="I122" s="153"/>
    </row>
    <row r="123" s="108" customFormat="1" ht="19" customHeight="1" spans="1:9">
      <c r="A123" s="121">
        <v>13</v>
      </c>
      <c r="B123" s="138" t="s">
        <v>62</v>
      </c>
      <c r="C123" s="144"/>
      <c r="D123" s="139"/>
      <c r="E123" s="140">
        <v>25</v>
      </c>
      <c r="F123" s="140">
        <f t="shared" si="3"/>
        <v>25</v>
      </c>
      <c r="G123" s="124"/>
      <c r="H123" s="121"/>
      <c r="I123" s="153"/>
    </row>
    <row r="124" s="107" customFormat="1" ht="19" customHeight="1" spans="1:9">
      <c r="A124" s="127" t="s">
        <v>63</v>
      </c>
      <c r="B124" s="127" t="s">
        <v>64</v>
      </c>
      <c r="C124" s="145" t="s">
        <v>65</v>
      </c>
      <c r="D124" s="146"/>
      <c r="E124" s="147"/>
      <c r="F124" s="148">
        <f>(F4+F112)*5%</f>
        <v>471.20966615</v>
      </c>
      <c r="G124" s="120">
        <f>F124/F125*100</f>
        <v>4.76190476190476</v>
      </c>
      <c r="H124" s="120"/>
      <c r="I124" s="155"/>
    </row>
    <row r="125" s="107" customFormat="1" ht="19" customHeight="1" spans="1:8">
      <c r="A125" s="127" t="s">
        <v>66</v>
      </c>
      <c r="B125" s="127" t="s">
        <v>67</v>
      </c>
      <c r="C125" s="139"/>
      <c r="D125" s="149"/>
      <c r="E125" s="139"/>
      <c r="F125" s="150">
        <f>F4+F112+F124</f>
        <v>9895.40298915</v>
      </c>
      <c r="G125" s="122">
        <v>100</v>
      </c>
      <c r="H125" s="121"/>
    </row>
    <row r="127" spans="6:6">
      <c r="F127" s="151"/>
    </row>
  </sheetData>
  <mergeCells count="7">
    <mergeCell ref="A1:H1"/>
    <mergeCell ref="C2:F2"/>
    <mergeCell ref="C124:E124"/>
    <mergeCell ref="A2:A3"/>
    <mergeCell ref="B2:B3"/>
    <mergeCell ref="G2:G3"/>
    <mergeCell ref="H2:H3"/>
  </mergeCells>
  <pageMargins left="0.700694444444445" right="0.503472222222222" top="0.590277777777778" bottom="0.590277777777778" header="0.298611111111111" footer="0.298611111111111"/>
  <pageSetup paperSize="9" scale="75" orientation="portrait" horizontalDpi="1200" verticalDpi="1200"/>
  <headerFooter/>
  <rowBreaks count="2" manualBreakCount="2">
    <brk id="54" max="7" man="1"/>
    <brk id="9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opLeftCell="A12" workbookViewId="0">
      <selection activeCell="F5" sqref="F5"/>
    </sheetView>
  </sheetViews>
  <sheetFormatPr defaultColWidth="9" defaultRowHeight="12"/>
  <cols>
    <col min="1" max="1" width="4.75" style="40" customWidth="1"/>
    <col min="2" max="2" width="18.625" style="41" customWidth="1"/>
    <col min="3" max="3" width="12.5" style="41" customWidth="1"/>
    <col min="4" max="4" width="12.25" style="41" customWidth="1"/>
    <col min="5" max="5" width="10" style="41" customWidth="1"/>
    <col min="6" max="6" width="10.25" style="41" customWidth="1"/>
    <col min="7" max="7" width="13.25" style="41" customWidth="1"/>
    <col min="8" max="8" width="10.625" style="41" customWidth="1"/>
    <col min="9" max="16384" width="9" style="41"/>
  </cols>
  <sheetData>
    <row r="1" s="37" customFormat="1" ht="18.75" spans="1:7">
      <c r="A1" s="42" t="s">
        <v>68</v>
      </c>
      <c r="B1" s="42"/>
      <c r="C1" s="42"/>
      <c r="D1" s="42"/>
      <c r="E1" s="42"/>
      <c r="F1" s="42"/>
      <c r="G1" s="42"/>
    </row>
    <row r="2" s="38" customFormat="1" ht="22.5" spans="1:9">
      <c r="A2" s="43" t="s">
        <v>1</v>
      </c>
      <c r="B2" s="43" t="s">
        <v>69</v>
      </c>
      <c r="C2" s="43"/>
      <c r="D2" s="43" t="s">
        <v>70</v>
      </c>
      <c r="E2" s="43" t="s">
        <v>71</v>
      </c>
      <c r="F2" s="43" t="s">
        <v>72</v>
      </c>
      <c r="G2" s="43" t="s">
        <v>73</v>
      </c>
      <c r="I2" s="101" t="s">
        <v>74</v>
      </c>
    </row>
    <row r="3" s="39" customFormat="1" spans="1:9">
      <c r="A3" s="44">
        <v>1</v>
      </c>
      <c r="B3" s="45" t="s">
        <v>75</v>
      </c>
      <c r="C3" s="46" t="s">
        <v>76</v>
      </c>
      <c r="D3" s="47" t="e">
        <f>I3</f>
        <v>#REF!</v>
      </c>
      <c r="E3" s="48" t="e">
        <f>ROUND(IF(D3&gt;500000,125,IF(D3&gt;100000,55+(100-55)/400000*(D3-100000),IF(D3&gt;50000,37+(55-37)/50000*(D3-50000),IF(D3&gt;10000,14+(37-14)/40000*(D3-10000),IF(D3&gt;3000,6+(14-6)/7000*(D3-3000),IF(D3&gt;1000,2.5+(6-2.5)/(3000-1000)*(D3-1000),1+(2.5-1)/1000*D3)))))),2)</f>
        <v>#REF!</v>
      </c>
      <c r="F3" s="49">
        <v>0.7</v>
      </c>
      <c r="G3" s="50" t="e">
        <f t="shared" ref="G3:G8" si="0">E3*F3</f>
        <v>#REF!</v>
      </c>
      <c r="H3" s="51" t="s">
        <v>77</v>
      </c>
      <c r="I3" s="102" t="e">
        <f>#REF!</f>
        <v>#REF!</v>
      </c>
    </row>
    <row r="4" s="39" customFormat="1" spans="1:8">
      <c r="A4" s="52"/>
      <c r="B4" s="53"/>
      <c r="C4" s="46" t="s">
        <v>78</v>
      </c>
      <c r="D4" s="47" t="e">
        <f>D3</f>
        <v>#REF!</v>
      </c>
      <c r="E4" s="48" t="e">
        <f>ROUND(IF(D4&gt;500000,250,IF(D4&gt;100000,110+90/400000*(D4-100000),IF(D4&gt;50000,75+(110-75)/50000*(D4-50000),IF(D4&gt;10000,28+(75-28)/40000*(D4-10000),IF(D4&gt;3000,12+(28-12)/7000*(D4-3000),IF(D4&gt;1000,5+7/(3000-1000)*(D4-1000),2+3/1000*D4)))))),2)</f>
        <v>#REF!</v>
      </c>
      <c r="F4" s="49">
        <v>0.7</v>
      </c>
      <c r="G4" s="50" t="e">
        <f t="shared" si="0"/>
        <v>#REF!</v>
      </c>
      <c r="H4" s="51"/>
    </row>
    <row r="5" s="39" customFormat="1" spans="1:8">
      <c r="A5" s="52"/>
      <c r="B5" s="53"/>
      <c r="C5" s="46" t="s">
        <v>79</v>
      </c>
      <c r="D5" s="47" t="e">
        <f>D3</f>
        <v>#REF!</v>
      </c>
      <c r="E5" s="48" t="e">
        <f>ROUND(IF(D5&gt;500000,20,IF(D5&gt;100000,15+(17-15)/400000*(D5-100000),IF(D5&gt;50000,12+(15-12)/50000*(D5-50000),IF(D5&gt;10000,8+(12-8)/40000*(D5-10000),IF(D5&gt;3000,4+(8-4)/7000*(D5-3000),IF(D5&gt;1000,1.5+(4-1.5)/(3000-1000)*(D5-1000),0.6+(1.5-0.6)/1000*D5)))))),2)</f>
        <v>#REF!</v>
      </c>
      <c r="F5" s="49">
        <v>0.7</v>
      </c>
      <c r="G5" s="50" t="e">
        <f t="shared" si="0"/>
        <v>#REF!</v>
      </c>
      <c r="H5" s="51"/>
    </row>
    <row r="6" s="39" customFormat="1" spans="1:8">
      <c r="A6" s="54"/>
      <c r="B6" s="55"/>
      <c r="C6" s="46" t="s">
        <v>80</v>
      </c>
      <c r="D6" s="47" t="e">
        <f>D3</f>
        <v>#REF!</v>
      </c>
      <c r="E6" s="48" t="e">
        <f>ROUND(IF(D6&gt;500000,35,IF(D6&gt;100000,20+(25-20)/400000*(D6-100000),IF(D6&gt;50000,15+(20-15)/50000*(D6-50000),IF(D6&gt;10000,10+(15-10)/40000*(D6-10000),IF(D6&gt;3000,5+(10-5)/7000*(D6-3000),IF(D6&gt;1000,2.5+(5-2.5)/(3000-1000)*(D6-1000),1+(2.5-1)/1000*D6)))))),2)</f>
        <v>#REF!</v>
      </c>
      <c r="F6" s="49">
        <v>0.7</v>
      </c>
      <c r="G6" s="50" t="e">
        <f t="shared" si="0"/>
        <v>#REF!</v>
      </c>
      <c r="H6" s="51"/>
    </row>
    <row r="7" s="39" customFormat="1" spans="1:7">
      <c r="A7" s="56">
        <v>2</v>
      </c>
      <c r="B7" s="46" t="s">
        <v>45</v>
      </c>
      <c r="C7" s="46"/>
      <c r="D7" s="47" t="e">
        <f>I3</f>
        <v>#REF!</v>
      </c>
      <c r="E7" s="48" t="e">
        <f>ROUND((D7*3%)+(D8+D9)*1%,2)</f>
        <v>#REF!</v>
      </c>
      <c r="F7" s="49">
        <v>1</v>
      </c>
      <c r="G7" s="50" t="e">
        <f t="shared" si="0"/>
        <v>#REF!</v>
      </c>
    </row>
    <row r="8" s="39" customFormat="1" spans="1:9">
      <c r="A8" s="44"/>
      <c r="B8" s="46" t="s">
        <v>56</v>
      </c>
      <c r="C8" s="46"/>
      <c r="D8" s="47">
        <f>D9*0.25</f>
        <v>2.75681882666667</v>
      </c>
      <c r="E8" s="48"/>
      <c r="F8" s="49">
        <v>1</v>
      </c>
      <c r="G8" s="50">
        <f t="shared" si="0"/>
        <v>0</v>
      </c>
      <c r="H8" s="57" t="s">
        <v>81</v>
      </c>
      <c r="I8" s="39">
        <f>D8+D9</f>
        <v>13.7840941333334</v>
      </c>
    </row>
    <row r="9" s="39" customFormat="1" spans="1:8">
      <c r="A9" s="52"/>
      <c r="B9" s="46" t="s">
        <v>58</v>
      </c>
      <c r="C9" s="46"/>
      <c r="D9" s="47">
        <f>[1]设计!I19/10000</f>
        <v>11.0272753066667</v>
      </c>
      <c r="E9" s="48"/>
      <c r="F9" s="49"/>
      <c r="G9" s="58">
        <f>D9</f>
        <v>11.0272753066667</v>
      </c>
      <c r="H9" s="59"/>
    </row>
    <row r="10" s="39" customFormat="1" spans="1:8">
      <c r="A10" s="54"/>
      <c r="B10" s="46" t="s">
        <v>82</v>
      </c>
      <c r="C10" s="46"/>
      <c r="D10" s="47">
        <f>[1]监理!J24</f>
        <v>7.3493244</v>
      </c>
      <c r="E10" s="48"/>
      <c r="F10" s="49"/>
      <c r="G10" s="58">
        <f>D10</f>
        <v>7.3493244</v>
      </c>
      <c r="H10" s="59"/>
    </row>
    <row r="11" s="39" customFormat="1" ht="13.5" spans="1:13">
      <c r="A11" s="44">
        <v>3</v>
      </c>
      <c r="B11" s="45" t="s">
        <v>83</v>
      </c>
      <c r="C11" s="60" t="s">
        <v>84</v>
      </c>
      <c r="D11" s="61" t="e">
        <f>I3</f>
        <v>#REF!</v>
      </c>
      <c r="E11" s="48" t="e">
        <f>ROUND(IF(D11&gt;=20000,0.17+0.56+0.55+3.2+3+3+(D11-20000)*0.015%,IF(D11&gt;=10000,7.48+(D11-10000)*0.03%,IF(D11&gt;=5000,4.48+(D11-5000)*0.06%,IF(D11&gt;=1000,1.28+(D11-1000)*0.08%,IF(D11&gt;=500,0.73+(D11-500)*0.11%,IF(D11&gt;=100,0.17+(D11-100)*0.14%,D11*0.17%))))))+D8*3.5%,2)</f>
        <v>#REF!</v>
      </c>
      <c r="F11" s="49">
        <v>1</v>
      </c>
      <c r="G11" s="50" t="e">
        <f t="shared" ref="G11:G16" si="1">E11*F11</f>
        <v>#REF!</v>
      </c>
      <c r="H11" s="59"/>
      <c r="I11" s="50" t="s">
        <v>85</v>
      </c>
      <c r="J11" s="56" t="s">
        <v>86</v>
      </c>
      <c r="K11" s="56" t="s">
        <v>87</v>
      </c>
      <c r="L11" s="56" t="s">
        <v>88</v>
      </c>
      <c r="M11" s="56" t="s">
        <v>89</v>
      </c>
    </row>
    <row r="12" s="39" customFormat="1" ht="22.5" spans="1:13">
      <c r="A12" s="54"/>
      <c r="B12" s="55"/>
      <c r="C12" s="60" t="s">
        <v>90</v>
      </c>
      <c r="D12" s="61" t="e">
        <f>I3</f>
        <v>#REF!</v>
      </c>
      <c r="E12" s="48" t="e">
        <f>ROUND(IF(D12&gt;=16000,2+4.5+4+4+(D12-16000)*0.025%,IF(D12&gt;=8000,2+4.5+4+(D12-8000)*0.05%,IF(D12&gt;=4000,2+4.5+(D12-4000)*0.1%,IF(D12&gt;=1000,2+(D12-1000)*0.15%,D12*0.2%))))+D8*3.5%,2)</f>
        <v>#REF!</v>
      </c>
      <c r="F12" s="49">
        <v>1</v>
      </c>
      <c r="G12" s="50" t="e">
        <f t="shared" si="1"/>
        <v>#REF!</v>
      </c>
      <c r="H12" s="62" t="s">
        <v>91</v>
      </c>
      <c r="I12" s="50" t="s">
        <v>92</v>
      </c>
      <c r="J12" s="56">
        <v>1.6</v>
      </c>
      <c r="K12" s="56">
        <v>1.3</v>
      </c>
      <c r="L12" s="56">
        <v>1</v>
      </c>
      <c r="M12" s="56">
        <v>0.8</v>
      </c>
    </row>
    <row r="13" s="39" customFormat="1" spans="1:7">
      <c r="A13" s="44">
        <v>4</v>
      </c>
      <c r="B13" s="63" t="s">
        <v>93</v>
      </c>
      <c r="C13" s="46" t="s">
        <v>94</v>
      </c>
      <c r="D13" s="47" t="e">
        <f>I3</f>
        <v>#REF!</v>
      </c>
      <c r="E13" s="48" t="e">
        <f>ROUND(IF(D13&gt;100000,1+2.8+2.75+14+10+45+(D13-100000)*0.01%,IF(D13&gt;10000,1+2.8+2.75+14+10+(D13-10000)*0.05%,IF(D13&gt;5000,1+2.8+2.75+14+(D13-5000)*0.2%,IF(D13&gt;1000,1+2.8+2.75+(D13-1000)*0.35%,IF(D13&gt;500,1+2.8+(D13-500)*0.55%,IF(D13&gt;100,1+(D13-100)*0.7%,D13*1%)))))),2)</f>
        <v>#REF!</v>
      </c>
      <c r="F13" s="49">
        <v>1</v>
      </c>
      <c r="G13" s="50" t="e">
        <f t="shared" si="1"/>
        <v>#REF!</v>
      </c>
    </row>
    <row r="14" s="39" customFormat="1" spans="1:7">
      <c r="A14" s="52"/>
      <c r="B14" s="64"/>
      <c r="C14" s="46" t="s">
        <v>95</v>
      </c>
      <c r="D14" s="65">
        <f>D10</f>
        <v>7.3493244</v>
      </c>
      <c r="E14" s="48">
        <f t="shared" ref="E14:E16" si="2">ROUND(IF(D14&gt;100000,1.5+3.2+2.25+10+5+45+(D14-100000)*0.01%,IF(D14&gt;10000,1.5+3.2+2.25+10+5+(D14-10000)*0.05%,IF(D14&gt;5000,1.5+3.2+2.25+10+(D14-5000)*0.1%,IF(D14&gt;1000,1.5+3.2+2.25+(D14-1000)*0.25%,IF(D14&gt;500,1.5+3.2+(D14-500)*0.45%,IF(D14&gt;100,1.5+(D14-100)*0.8%,D14*1.5%)))))),2)</f>
        <v>0.11</v>
      </c>
      <c r="F14" s="49">
        <v>1</v>
      </c>
      <c r="G14" s="50">
        <f t="shared" si="1"/>
        <v>0.11</v>
      </c>
    </row>
    <row r="15" s="39" customFormat="1" spans="1:7">
      <c r="A15" s="52"/>
      <c r="B15" s="64"/>
      <c r="C15" s="46" t="s">
        <v>96</v>
      </c>
      <c r="D15" s="47">
        <f>D9</f>
        <v>11.0272753066667</v>
      </c>
      <c r="E15" s="48">
        <f t="shared" si="2"/>
        <v>0.17</v>
      </c>
      <c r="F15" s="49">
        <v>1</v>
      </c>
      <c r="G15" s="50">
        <f t="shared" si="1"/>
        <v>0.17</v>
      </c>
    </row>
    <row r="16" s="39" customFormat="1" spans="1:7">
      <c r="A16" s="52"/>
      <c r="B16" s="64"/>
      <c r="C16" s="46" t="s">
        <v>97</v>
      </c>
      <c r="D16" s="47">
        <f>D8</f>
        <v>2.75681882666667</v>
      </c>
      <c r="E16" s="48">
        <f t="shared" si="2"/>
        <v>0.04</v>
      </c>
      <c r="F16" s="49">
        <v>1</v>
      </c>
      <c r="G16" s="50">
        <f t="shared" si="1"/>
        <v>0.04</v>
      </c>
    </row>
    <row r="17" s="39" customFormat="1" spans="1:7">
      <c r="A17" s="54"/>
      <c r="B17" s="66"/>
      <c r="C17" s="67" t="s">
        <v>9</v>
      </c>
      <c r="D17" s="68"/>
      <c r="E17" s="69" t="e">
        <f>SUM(E13:E16)</f>
        <v>#REF!</v>
      </c>
      <c r="F17" s="70"/>
      <c r="G17" s="71" t="e">
        <f>SUM(G13:G16)</f>
        <v>#REF!</v>
      </c>
    </row>
    <row r="18" s="39" customFormat="1" spans="1:8">
      <c r="A18" s="56"/>
      <c r="B18" s="43" t="s">
        <v>98</v>
      </c>
      <c r="C18" s="72" t="s">
        <v>99</v>
      </c>
      <c r="D18" s="73" t="e">
        <f>I3</f>
        <v>#REF!</v>
      </c>
      <c r="E18" s="48" t="e">
        <f>ROUND(IF(D18&gt;3000,2.5+2.25+8.4+(D18-3000)*0.4%,IF(D18&gt;1000,2.5+2.25+(D18-1000)*0.42%,IF(D18&gt;500,2.5+(D18-500)*0.45%,D18*0.5%))),2)</f>
        <v>#REF!</v>
      </c>
      <c r="F18" s="70">
        <v>0.7</v>
      </c>
      <c r="G18" s="71" t="e">
        <f t="shared" ref="G18:G20" si="3">ROUND(E18*F18,2)</f>
        <v>#REF!</v>
      </c>
      <c r="H18" s="74" t="s">
        <v>100</v>
      </c>
    </row>
    <row r="19" s="39" customFormat="1" ht="22.5" spans="1:8">
      <c r="A19" s="56"/>
      <c r="B19" s="43"/>
      <c r="C19" s="72" t="s">
        <v>101</v>
      </c>
      <c r="D19" s="73" t="e">
        <f>I3</f>
        <v>#REF!</v>
      </c>
      <c r="E19" s="48" t="e">
        <f>ROUND(IF(D19&gt;3000,2.9+2.75+10.4+(D19-3000)*0.5%,IF(D19&gt;1000,2.9+2.75+(D19-1000)*0.52%,IF(D19&gt;500,2.9+(D19-500)*0.55%,D19*0.58%))),2)</f>
        <v>#REF!</v>
      </c>
      <c r="F19" s="70">
        <v>0.7</v>
      </c>
      <c r="G19" s="71" t="e">
        <f t="shared" si="3"/>
        <v>#REF!</v>
      </c>
      <c r="H19" s="75"/>
    </row>
    <row r="20" s="39" customFormat="1" ht="22.5" spans="1:8">
      <c r="A20" s="56"/>
      <c r="B20" s="43" t="s">
        <v>102</v>
      </c>
      <c r="C20" s="72" t="s">
        <v>103</v>
      </c>
      <c r="D20" s="73" t="e">
        <f>I3</f>
        <v>#REF!</v>
      </c>
      <c r="E20" s="48" t="e">
        <f>ROUND(IF(D20&gt;50000,104,IF(D20&gt;40000,95+(D20-40000)*9/10000,IF(D20&gt;30000,82+(D20-30000)*13/10000,IF(D20&gt;20000,72+(D20-20000)*10/10000,IF(D20&gt;10000,52+(D20-10000)*20/10000,D20*0.6%))))),2)</f>
        <v>#REF!</v>
      </c>
      <c r="F20" s="70">
        <v>0.7</v>
      </c>
      <c r="G20" s="71" t="e">
        <f t="shared" si="3"/>
        <v>#REF!</v>
      </c>
      <c r="H20" s="76" t="s">
        <v>104</v>
      </c>
    </row>
    <row r="21" s="39" customFormat="1" spans="1:7">
      <c r="A21" s="56"/>
      <c r="B21" s="43" t="s">
        <v>105</v>
      </c>
      <c r="C21" s="72" t="s">
        <v>106</v>
      </c>
      <c r="D21" s="73"/>
      <c r="E21" s="48"/>
      <c r="F21" s="70"/>
      <c r="G21" s="71" t="s">
        <v>107</v>
      </c>
    </row>
    <row r="22" s="39" customFormat="1" spans="1:7">
      <c r="A22" s="56"/>
      <c r="B22" s="43"/>
      <c r="C22" s="72" t="s">
        <v>108</v>
      </c>
      <c r="D22" s="73" t="e">
        <f>I3</f>
        <v>#REF!</v>
      </c>
      <c r="E22" s="48" t="e">
        <f>ROUND(IF(D22&gt;500000,35,IF(D22&gt;100000,20+(25-20)/400000*(D22-100000),IF(D22&gt;50000,15+(20-15)/50000*(D22-50000),IF(D22&gt;10000,10+(15-10)/40000*(D22-10000),IF(D22&gt;3000,5+(10-5)/7000*(D22-3000),IF(D22&gt;1000,2.5+(5-2.5)/(3000-1000)*(D22-1000),1+(2.5-1)/1000*D22)))))),2)</f>
        <v>#REF!</v>
      </c>
      <c r="F22" s="70">
        <v>1</v>
      </c>
      <c r="G22" s="71" t="e">
        <f>ROUND(E22*F22,2)</f>
        <v>#REF!</v>
      </c>
    </row>
    <row r="23" s="39" customFormat="1" spans="1:8">
      <c r="A23" s="44">
        <v>5</v>
      </c>
      <c r="B23" s="77" t="s">
        <v>109</v>
      </c>
      <c r="C23" s="46" t="s">
        <v>110</v>
      </c>
      <c r="D23" s="47" t="e">
        <f>D24</f>
        <v>#REF!</v>
      </c>
      <c r="E23" s="48" t="e">
        <f>ROUND(IF(D23&gt;1000000,110+13,IF(D23&gt;500000,(75+9)+(110+13-75-9)/500000*(D23-500000),IF(D23&gt;100000,42+(84-42)/400000*(D23-100000),IF(D23&gt;20000,18+(42-18)/80000*(D23-20000),IF(D23&gt;3000,7.5+(18-7.5)/17000*(D23-3000),5.8+(7.5-5.8)/3000*D23))))),2)</f>
        <v>#REF!</v>
      </c>
      <c r="F23" s="49">
        <v>1</v>
      </c>
      <c r="G23" s="50" t="e">
        <f t="shared" ref="G23:G25" si="4">E23*F23</f>
        <v>#REF!</v>
      </c>
      <c r="H23" s="76" t="s">
        <v>111</v>
      </c>
    </row>
    <row r="24" s="39" customFormat="1" spans="1:8">
      <c r="A24" s="54"/>
      <c r="B24" s="78"/>
      <c r="C24" s="46" t="s">
        <v>112</v>
      </c>
      <c r="D24" s="47" t="e">
        <f>D3</f>
        <v>#REF!</v>
      </c>
      <c r="E24" s="48" t="e">
        <f>ROUND(IF(D24&gt;1000000,9,IF(D24&gt;500000,9,IF(D24&gt;100000,9,IF(D24&gt;20000,5.5+(9-5.5)/80000*(D24-20000),IF(D24&gt;3000,2.8+(5.5-2.8)/17000*(D24-3000),1.5+(3.8-1.5)/3000*D24))))),2)</f>
        <v>#REF!</v>
      </c>
      <c r="F24" s="49">
        <v>1</v>
      </c>
      <c r="G24" s="50" t="e">
        <f t="shared" si="4"/>
        <v>#REF!</v>
      </c>
      <c r="H24" s="76" t="s">
        <v>113</v>
      </c>
    </row>
    <row r="25" s="39" customFormat="1" spans="1:7">
      <c r="A25" s="56">
        <v>6</v>
      </c>
      <c r="B25" s="79" t="s">
        <v>114</v>
      </c>
      <c r="C25" s="46"/>
      <c r="D25" s="47" t="e">
        <f>D3</f>
        <v>#REF!</v>
      </c>
      <c r="E25" s="48" t="e">
        <f>IF(D25&gt;40000,560.8+(791.5-560.8)/(60000-40000)*(D25-40000),IF(D25&gt;20000,307.32+(560.8-307.32)/(40000-20000)*(D25-20000),IF(D25&gt;10000,168.07+(307.32-168.07)/(20000-10000)*(D25-10000),IF(D25&gt;8000,139.1+(168.07-139.1)/(10000-8000)*(D25-8000),IF(D25&gt;5000,92.7+(139.1-92.7)/(8000-5000)*(D25-5000),IF(D25&gt;3000,59.5+(92.7-59.5)/(5000-3000)*(D25-3000),IF(D25&gt;1000,22.2+(59.5-22.2)/(3000-1000)*(D25-1000),IF(D25&gt;500,12+(22.2-12)/(1000-500)*(D25-500),D25*2.4%))))))))</f>
        <v>#REF!</v>
      </c>
      <c r="F25" s="49">
        <v>1</v>
      </c>
      <c r="G25" s="50" t="e">
        <f t="shared" si="4"/>
        <v>#REF!</v>
      </c>
    </row>
    <row r="26" spans="1:8">
      <c r="A26" s="56"/>
      <c r="B26" s="43" t="s">
        <v>115</v>
      </c>
      <c r="C26" s="60"/>
      <c r="D26" s="80"/>
      <c r="E26" s="48"/>
      <c r="F26" s="49"/>
      <c r="G26" s="80" t="s">
        <v>116</v>
      </c>
      <c r="H26" s="81" t="s">
        <v>117</v>
      </c>
    </row>
    <row r="27" spans="1:8">
      <c r="A27" s="82"/>
      <c r="B27" s="83" t="s">
        <v>118</v>
      </c>
      <c r="C27" s="84"/>
      <c r="D27" s="84"/>
      <c r="E27" s="84"/>
      <c r="F27" s="84"/>
      <c r="G27" s="84" t="e">
        <f>G4</f>
        <v>#REF!</v>
      </c>
      <c r="H27" s="81" t="s">
        <v>119</v>
      </c>
    </row>
    <row r="29" spans="2:5">
      <c r="B29" s="85" t="s">
        <v>45</v>
      </c>
      <c r="C29" s="86" t="s">
        <v>120</v>
      </c>
      <c r="D29" s="87">
        <v>0.03</v>
      </c>
      <c r="E29" s="41" t="e">
        <f>ROUND(D7*3%+(D8+D9)*1%,2)</f>
        <v>#REF!</v>
      </c>
    </row>
    <row r="30" ht="33.75" spans="2:5">
      <c r="B30" s="88"/>
      <c r="C30" s="86" t="s">
        <v>121</v>
      </c>
      <c r="D30" s="87">
        <v>0.03</v>
      </c>
      <c r="E30" s="41" t="e">
        <f>ROUND(D7*3%+(D8+D9)*1%,2)</f>
        <v>#REF!</v>
      </c>
    </row>
    <row r="31" spans="2:5">
      <c r="B31" s="88"/>
      <c r="C31" s="86" t="s">
        <v>122</v>
      </c>
      <c r="D31" s="81" t="s">
        <v>123</v>
      </c>
      <c r="E31" s="41" t="e">
        <f>ROUND(IF(D7&gt;5000,90+50+(D7-5000)*2%,IF(D7&gt;3000,90+(D7-3000)*2.5%,D7*3%))+(D8+D9)*1%,2)</f>
        <v>#REF!</v>
      </c>
    </row>
    <row r="32" spans="2:5">
      <c r="B32" s="88"/>
      <c r="C32" s="86" t="s">
        <v>84</v>
      </c>
      <c r="D32" s="81" t="s">
        <v>123</v>
      </c>
      <c r="E32" s="41" t="e">
        <f>ROUND(IF(D7&gt;50000,110+90+480+(D7-50000)*1%,IF(D7&gt;10000,110+90+(D7-10000)*1.2%,IF(D7&gt;5000,110+(D7-5000)*1.8%,D7*2.2%)))+(D8+D9)*1%,2)</f>
        <v>#REF!</v>
      </c>
    </row>
    <row r="33" spans="2:5">
      <c r="B33" s="88"/>
      <c r="C33" s="86" t="s">
        <v>124</v>
      </c>
      <c r="D33" s="81" t="s">
        <v>123</v>
      </c>
      <c r="E33" s="41" t="e">
        <f>ROUND(IF(D7&gt;80000,300+400+(D7-80000)*0.4%,IF(D7&gt;30000,300+(D7-30000)*0.8%,D7*1%))+(D8+D9)*1%,2)</f>
        <v>#REF!</v>
      </c>
    </row>
    <row r="34" ht="35.25" spans="2:5">
      <c r="B34" s="88"/>
      <c r="C34" s="86" t="s">
        <v>125</v>
      </c>
      <c r="D34" s="81" t="s">
        <v>123</v>
      </c>
      <c r="E34" s="41" t="e">
        <f>ROUND(IF(D7&gt;200000,120+100+640+1800+(D7-200000)*0.8%,IF(D7&gt;50000,120+100+640+(D7-50000)*1.2%,IF(D7&gt;10000,120+100+(D7-10000)*1.6%,IF(D7&gt;5000,120+(D7-5000)*2%,D7*2.4%))))+(D8+D9)*1%,2)</f>
        <v>#REF!</v>
      </c>
    </row>
    <row r="35" ht="22.5" spans="2:4">
      <c r="B35" s="39"/>
      <c r="C35" s="86" t="s">
        <v>126</v>
      </c>
      <c r="D35" s="81" t="s">
        <v>127</v>
      </c>
    </row>
    <row r="36" spans="2:8">
      <c r="B36" s="85" t="s">
        <v>128</v>
      </c>
      <c r="C36" s="81" t="s">
        <v>129</v>
      </c>
      <c r="D36" s="41" t="s">
        <v>130</v>
      </c>
      <c r="F36" s="81" t="s">
        <v>72</v>
      </c>
      <c r="G36" s="81" t="s">
        <v>131</v>
      </c>
      <c r="H36" s="89" t="s">
        <v>132</v>
      </c>
    </row>
    <row r="37" spans="2:8">
      <c r="B37" s="85"/>
      <c r="C37" s="81" t="s">
        <v>133</v>
      </c>
      <c r="D37" s="41" t="s">
        <v>134</v>
      </c>
      <c r="G37" s="81" t="s">
        <v>135</v>
      </c>
      <c r="H37" s="40">
        <v>2</v>
      </c>
    </row>
    <row r="38" spans="2:8">
      <c r="B38" s="85"/>
      <c r="C38" s="81" t="s">
        <v>136</v>
      </c>
      <c r="D38" s="41" t="s">
        <v>137</v>
      </c>
      <c r="G38" s="81" t="s">
        <v>138</v>
      </c>
      <c r="H38" s="40" t="s">
        <v>139</v>
      </c>
    </row>
    <row r="41" ht="22.5" spans="1:10">
      <c r="A41" s="90"/>
      <c r="B41" s="91" t="s">
        <v>82</v>
      </c>
      <c r="C41" s="92" t="s">
        <v>140</v>
      </c>
      <c r="D41" s="93" t="e">
        <f>#REF!</f>
        <v>#REF!</v>
      </c>
      <c r="E41" s="94" t="e">
        <f t="shared" ref="E41:E42" si="5">IF(D41&gt;40000,708.2+(D41-40000)/(60000-40000)*(991.4-708.2),IF(D41&gt;20000,393.4+(D41-20000)/(40000-20000)*(708.2-393.4),IF(D41&gt;10000,218.6+(D41-10000)/(20000-10000)*(393.4-218.6),IF(D41&gt;8000,181+(D41-8000)/(10000-8000)*(218.6-181),IF(D41&gt;5000,120.8+(D41-5000)/(8000-5000)*(181-120.8),IF(D41&gt;3000,78.1+(D41-3000)/(5000-3000)*(120.8-78.1),IF(D41&gt;1000,30.1+(D41-1000)/(3000-1000)*(78.1-30.1),IF(D41&gt;500,16.5+(D41-500)/(1000-500)*(30.1-16.5),D41*3.3%))))))))</f>
        <v>#REF!</v>
      </c>
      <c r="F41" s="95">
        <v>1</v>
      </c>
      <c r="G41" s="96">
        <v>1</v>
      </c>
      <c r="H41" s="96">
        <v>1</v>
      </c>
      <c r="I41" s="103">
        <v>1</v>
      </c>
      <c r="J41" s="104" t="e">
        <f t="shared" ref="J41:J42" si="6">E41*F41*G41*H41*I41</f>
        <v>#REF!</v>
      </c>
    </row>
    <row r="42" ht="22.5" spans="1:10">
      <c r="A42" s="97"/>
      <c r="B42" s="98"/>
      <c r="C42" s="92" t="s">
        <v>141</v>
      </c>
      <c r="D42" s="99"/>
      <c r="E42" s="94">
        <f t="shared" si="5"/>
        <v>0</v>
      </c>
      <c r="F42" s="100">
        <v>1</v>
      </c>
      <c r="G42" s="96">
        <v>1</v>
      </c>
      <c r="H42" s="96">
        <v>1</v>
      </c>
      <c r="I42" s="103">
        <v>0.8</v>
      </c>
      <c r="J42" s="104">
        <f t="shared" si="6"/>
        <v>0</v>
      </c>
    </row>
  </sheetData>
  <mergeCells count="21">
    <mergeCell ref="A1:G1"/>
    <mergeCell ref="A3:A6"/>
    <mergeCell ref="A8:A10"/>
    <mergeCell ref="A11:A12"/>
    <mergeCell ref="A13:A17"/>
    <mergeCell ref="A18:A19"/>
    <mergeCell ref="A21:A22"/>
    <mergeCell ref="A23:A24"/>
    <mergeCell ref="A41:A42"/>
    <mergeCell ref="B3:B6"/>
    <mergeCell ref="B11:B12"/>
    <mergeCell ref="B13:B17"/>
    <mergeCell ref="B18:B19"/>
    <mergeCell ref="B21:B22"/>
    <mergeCell ref="B23:B24"/>
    <mergeCell ref="B29:B34"/>
    <mergeCell ref="B36:B38"/>
    <mergeCell ref="B41:B42"/>
    <mergeCell ref="H3:H6"/>
    <mergeCell ref="H8:H10"/>
    <mergeCell ref="H18:H19"/>
  </mergeCells>
  <pageMargins left="0.7" right="0.7" top="0.75" bottom="0.75" header="0.3" footer="0.3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F5" sqref="F5"/>
    </sheetView>
  </sheetViews>
  <sheetFormatPr defaultColWidth="9" defaultRowHeight="14.25" customHeight="1"/>
  <cols>
    <col min="1" max="1" width="5.75" style="5" customWidth="1"/>
    <col min="2" max="2" width="20.25" style="6" customWidth="1"/>
    <col min="3" max="9" width="12.625" style="6" customWidth="1"/>
    <col min="10" max="10" width="11" style="6" customWidth="1"/>
    <col min="11" max="11" width="10.125" style="6" customWidth="1"/>
    <col min="12" max="256" width="9" style="6"/>
    <col min="257" max="257" width="5.75" style="6" customWidth="1"/>
    <col min="258" max="258" width="20.25" style="6" customWidth="1"/>
    <col min="259" max="265" width="12.625" style="6" customWidth="1"/>
    <col min="266" max="266" width="7.75" style="6" customWidth="1"/>
    <col min="267" max="267" width="10.125" style="6" customWidth="1"/>
    <col min="268" max="512" width="9" style="6"/>
    <col min="513" max="513" width="5.75" style="6" customWidth="1"/>
    <col min="514" max="514" width="20.25" style="6" customWidth="1"/>
    <col min="515" max="521" width="12.625" style="6" customWidth="1"/>
    <col min="522" max="522" width="7.75" style="6" customWidth="1"/>
    <col min="523" max="523" width="10.125" style="6" customWidth="1"/>
    <col min="524" max="768" width="9" style="6"/>
    <col min="769" max="769" width="5.75" style="6" customWidth="1"/>
    <col min="770" max="770" width="20.25" style="6" customWidth="1"/>
    <col min="771" max="777" width="12.625" style="6" customWidth="1"/>
    <col min="778" max="778" width="7.75" style="6" customWidth="1"/>
    <col min="779" max="779" width="10.125" style="6" customWidth="1"/>
    <col min="780" max="1024" width="9" style="6"/>
    <col min="1025" max="1025" width="5.75" style="6" customWidth="1"/>
    <col min="1026" max="1026" width="20.25" style="6" customWidth="1"/>
    <col min="1027" max="1033" width="12.625" style="6" customWidth="1"/>
    <col min="1034" max="1034" width="7.75" style="6" customWidth="1"/>
    <col min="1035" max="1035" width="10.125" style="6" customWidth="1"/>
    <col min="1036" max="1280" width="9" style="6"/>
    <col min="1281" max="1281" width="5.75" style="6" customWidth="1"/>
    <col min="1282" max="1282" width="20.25" style="6" customWidth="1"/>
    <col min="1283" max="1289" width="12.625" style="6" customWidth="1"/>
    <col min="1290" max="1290" width="7.75" style="6" customWidth="1"/>
    <col min="1291" max="1291" width="10.125" style="6" customWidth="1"/>
    <col min="1292" max="1536" width="9" style="6"/>
    <col min="1537" max="1537" width="5.75" style="6" customWidth="1"/>
    <col min="1538" max="1538" width="20.25" style="6" customWidth="1"/>
    <col min="1539" max="1545" width="12.625" style="6" customWidth="1"/>
    <col min="1546" max="1546" width="7.75" style="6" customWidth="1"/>
    <col min="1547" max="1547" width="10.125" style="6" customWidth="1"/>
    <col min="1548" max="1792" width="9" style="6"/>
    <col min="1793" max="1793" width="5.75" style="6" customWidth="1"/>
    <col min="1794" max="1794" width="20.25" style="6" customWidth="1"/>
    <col min="1795" max="1801" width="12.625" style="6" customWidth="1"/>
    <col min="1802" max="1802" width="7.75" style="6" customWidth="1"/>
    <col min="1803" max="1803" width="10.125" style="6" customWidth="1"/>
    <col min="1804" max="2048" width="9" style="6"/>
    <col min="2049" max="2049" width="5.75" style="6" customWidth="1"/>
    <col min="2050" max="2050" width="20.25" style="6" customWidth="1"/>
    <col min="2051" max="2057" width="12.625" style="6" customWidth="1"/>
    <col min="2058" max="2058" width="7.75" style="6" customWidth="1"/>
    <col min="2059" max="2059" width="10.125" style="6" customWidth="1"/>
    <col min="2060" max="2304" width="9" style="6"/>
    <col min="2305" max="2305" width="5.75" style="6" customWidth="1"/>
    <col min="2306" max="2306" width="20.25" style="6" customWidth="1"/>
    <col min="2307" max="2313" width="12.625" style="6" customWidth="1"/>
    <col min="2314" max="2314" width="7.75" style="6" customWidth="1"/>
    <col min="2315" max="2315" width="10.125" style="6" customWidth="1"/>
    <col min="2316" max="2560" width="9" style="6"/>
    <col min="2561" max="2561" width="5.75" style="6" customWidth="1"/>
    <col min="2562" max="2562" width="20.25" style="6" customWidth="1"/>
    <col min="2563" max="2569" width="12.625" style="6" customWidth="1"/>
    <col min="2570" max="2570" width="7.75" style="6" customWidth="1"/>
    <col min="2571" max="2571" width="10.125" style="6" customWidth="1"/>
    <col min="2572" max="2816" width="9" style="6"/>
    <col min="2817" max="2817" width="5.75" style="6" customWidth="1"/>
    <col min="2818" max="2818" width="20.25" style="6" customWidth="1"/>
    <col min="2819" max="2825" width="12.625" style="6" customWidth="1"/>
    <col min="2826" max="2826" width="7.75" style="6" customWidth="1"/>
    <col min="2827" max="2827" width="10.125" style="6" customWidth="1"/>
    <col min="2828" max="3072" width="9" style="6"/>
    <col min="3073" max="3073" width="5.75" style="6" customWidth="1"/>
    <col min="3074" max="3074" width="20.25" style="6" customWidth="1"/>
    <col min="3075" max="3081" width="12.625" style="6" customWidth="1"/>
    <col min="3082" max="3082" width="7.75" style="6" customWidth="1"/>
    <col min="3083" max="3083" width="10.125" style="6" customWidth="1"/>
    <col min="3084" max="3328" width="9" style="6"/>
    <col min="3329" max="3329" width="5.75" style="6" customWidth="1"/>
    <col min="3330" max="3330" width="20.25" style="6" customWidth="1"/>
    <col min="3331" max="3337" width="12.625" style="6" customWidth="1"/>
    <col min="3338" max="3338" width="7.75" style="6" customWidth="1"/>
    <col min="3339" max="3339" width="10.125" style="6" customWidth="1"/>
    <col min="3340" max="3584" width="9" style="6"/>
    <col min="3585" max="3585" width="5.75" style="6" customWidth="1"/>
    <col min="3586" max="3586" width="20.25" style="6" customWidth="1"/>
    <col min="3587" max="3593" width="12.625" style="6" customWidth="1"/>
    <col min="3594" max="3594" width="7.75" style="6" customWidth="1"/>
    <col min="3595" max="3595" width="10.125" style="6" customWidth="1"/>
    <col min="3596" max="3840" width="9" style="6"/>
    <col min="3841" max="3841" width="5.75" style="6" customWidth="1"/>
    <col min="3842" max="3842" width="20.25" style="6" customWidth="1"/>
    <col min="3843" max="3849" width="12.625" style="6" customWidth="1"/>
    <col min="3850" max="3850" width="7.75" style="6" customWidth="1"/>
    <col min="3851" max="3851" width="10.125" style="6" customWidth="1"/>
    <col min="3852" max="4096" width="9" style="6"/>
    <col min="4097" max="4097" width="5.75" style="6" customWidth="1"/>
    <col min="4098" max="4098" width="20.25" style="6" customWidth="1"/>
    <col min="4099" max="4105" width="12.625" style="6" customWidth="1"/>
    <col min="4106" max="4106" width="7.75" style="6" customWidth="1"/>
    <col min="4107" max="4107" width="10.125" style="6" customWidth="1"/>
    <col min="4108" max="4352" width="9" style="6"/>
    <col min="4353" max="4353" width="5.75" style="6" customWidth="1"/>
    <col min="4354" max="4354" width="20.25" style="6" customWidth="1"/>
    <col min="4355" max="4361" width="12.625" style="6" customWidth="1"/>
    <col min="4362" max="4362" width="7.75" style="6" customWidth="1"/>
    <col min="4363" max="4363" width="10.125" style="6" customWidth="1"/>
    <col min="4364" max="4608" width="9" style="6"/>
    <col min="4609" max="4609" width="5.75" style="6" customWidth="1"/>
    <col min="4610" max="4610" width="20.25" style="6" customWidth="1"/>
    <col min="4611" max="4617" width="12.625" style="6" customWidth="1"/>
    <col min="4618" max="4618" width="7.75" style="6" customWidth="1"/>
    <col min="4619" max="4619" width="10.125" style="6" customWidth="1"/>
    <col min="4620" max="4864" width="9" style="6"/>
    <col min="4865" max="4865" width="5.75" style="6" customWidth="1"/>
    <col min="4866" max="4866" width="20.25" style="6" customWidth="1"/>
    <col min="4867" max="4873" width="12.625" style="6" customWidth="1"/>
    <col min="4874" max="4874" width="7.75" style="6" customWidth="1"/>
    <col min="4875" max="4875" width="10.125" style="6" customWidth="1"/>
    <col min="4876" max="5120" width="9" style="6"/>
    <col min="5121" max="5121" width="5.75" style="6" customWidth="1"/>
    <col min="5122" max="5122" width="20.25" style="6" customWidth="1"/>
    <col min="5123" max="5129" width="12.625" style="6" customWidth="1"/>
    <col min="5130" max="5130" width="7.75" style="6" customWidth="1"/>
    <col min="5131" max="5131" width="10.125" style="6" customWidth="1"/>
    <col min="5132" max="5376" width="9" style="6"/>
    <col min="5377" max="5377" width="5.75" style="6" customWidth="1"/>
    <col min="5378" max="5378" width="20.25" style="6" customWidth="1"/>
    <col min="5379" max="5385" width="12.625" style="6" customWidth="1"/>
    <col min="5386" max="5386" width="7.75" style="6" customWidth="1"/>
    <col min="5387" max="5387" width="10.125" style="6" customWidth="1"/>
    <col min="5388" max="5632" width="9" style="6"/>
    <col min="5633" max="5633" width="5.75" style="6" customWidth="1"/>
    <col min="5634" max="5634" width="20.25" style="6" customWidth="1"/>
    <col min="5635" max="5641" width="12.625" style="6" customWidth="1"/>
    <col min="5642" max="5642" width="7.75" style="6" customWidth="1"/>
    <col min="5643" max="5643" width="10.125" style="6" customWidth="1"/>
    <col min="5644" max="5888" width="9" style="6"/>
    <col min="5889" max="5889" width="5.75" style="6" customWidth="1"/>
    <col min="5890" max="5890" width="20.25" style="6" customWidth="1"/>
    <col min="5891" max="5897" width="12.625" style="6" customWidth="1"/>
    <col min="5898" max="5898" width="7.75" style="6" customWidth="1"/>
    <col min="5899" max="5899" width="10.125" style="6" customWidth="1"/>
    <col min="5900" max="6144" width="9" style="6"/>
    <col min="6145" max="6145" width="5.75" style="6" customWidth="1"/>
    <col min="6146" max="6146" width="20.25" style="6" customWidth="1"/>
    <col min="6147" max="6153" width="12.625" style="6" customWidth="1"/>
    <col min="6154" max="6154" width="7.75" style="6" customWidth="1"/>
    <col min="6155" max="6155" width="10.125" style="6" customWidth="1"/>
    <col min="6156" max="6400" width="9" style="6"/>
    <col min="6401" max="6401" width="5.75" style="6" customWidth="1"/>
    <col min="6402" max="6402" width="20.25" style="6" customWidth="1"/>
    <col min="6403" max="6409" width="12.625" style="6" customWidth="1"/>
    <col min="6410" max="6410" width="7.75" style="6" customWidth="1"/>
    <col min="6411" max="6411" width="10.125" style="6" customWidth="1"/>
    <col min="6412" max="6656" width="9" style="6"/>
    <col min="6657" max="6657" width="5.75" style="6" customWidth="1"/>
    <col min="6658" max="6658" width="20.25" style="6" customWidth="1"/>
    <col min="6659" max="6665" width="12.625" style="6" customWidth="1"/>
    <col min="6666" max="6666" width="7.75" style="6" customWidth="1"/>
    <col min="6667" max="6667" width="10.125" style="6" customWidth="1"/>
    <col min="6668" max="6912" width="9" style="6"/>
    <col min="6913" max="6913" width="5.75" style="6" customWidth="1"/>
    <col min="6914" max="6914" width="20.25" style="6" customWidth="1"/>
    <col min="6915" max="6921" width="12.625" style="6" customWidth="1"/>
    <col min="6922" max="6922" width="7.75" style="6" customWidth="1"/>
    <col min="6923" max="6923" width="10.125" style="6" customWidth="1"/>
    <col min="6924" max="7168" width="9" style="6"/>
    <col min="7169" max="7169" width="5.75" style="6" customWidth="1"/>
    <col min="7170" max="7170" width="20.25" style="6" customWidth="1"/>
    <col min="7171" max="7177" width="12.625" style="6" customWidth="1"/>
    <col min="7178" max="7178" width="7.75" style="6" customWidth="1"/>
    <col min="7179" max="7179" width="10.125" style="6" customWidth="1"/>
    <col min="7180" max="7424" width="9" style="6"/>
    <col min="7425" max="7425" width="5.75" style="6" customWidth="1"/>
    <col min="7426" max="7426" width="20.25" style="6" customWidth="1"/>
    <col min="7427" max="7433" width="12.625" style="6" customWidth="1"/>
    <col min="7434" max="7434" width="7.75" style="6" customWidth="1"/>
    <col min="7435" max="7435" width="10.125" style="6" customWidth="1"/>
    <col min="7436" max="7680" width="9" style="6"/>
    <col min="7681" max="7681" width="5.75" style="6" customWidth="1"/>
    <col min="7682" max="7682" width="20.25" style="6" customWidth="1"/>
    <col min="7683" max="7689" width="12.625" style="6" customWidth="1"/>
    <col min="7690" max="7690" width="7.75" style="6" customWidth="1"/>
    <col min="7691" max="7691" width="10.125" style="6" customWidth="1"/>
    <col min="7692" max="7936" width="9" style="6"/>
    <col min="7937" max="7937" width="5.75" style="6" customWidth="1"/>
    <col min="7938" max="7938" width="20.25" style="6" customWidth="1"/>
    <col min="7939" max="7945" width="12.625" style="6" customWidth="1"/>
    <col min="7946" max="7946" width="7.75" style="6" customWidth="1"/>
    <col min="7947" max="7947" width="10.125" style="6" customWidth="1"/>
    <col min="7948" max="8192" width="9" style="6"/>
    <col min="8193" max="8193" width="5.75" style="6" customWidth="1"/>
    <col min="8194" max="8194" width="20.25" style="6" customWidth="1"/>
    <col min="8195" max="8201" width="12.625" style="6" customWidth="1"/>
    <col min="8202" max="8202" width="7.75" style="6" customWidth="1"/>
    <col min="8203" max="8203" width="10.125" style="6" customWidth="1"/>
    <col min="8204" max="8448" width="9" style="6"/>
    <col min="8449" max="8449" width="5.75" style="6" customWidth="1"/>
    <col min="8450" max="8450" width="20.25" style="6" customWidth="1"/>
    <col min="8451" max="8457" width="12.625" style="6" customWidth="1"/>
    <col min="8458" max="8458" width="7.75" style="6" customWidth="1"/>
    <col min="8459" max="8459" width="10.125" style="6" customWidth="1"/>
    <col min="8460" max="8704" width="9" style="6"/>
    <col min="8705" max="8705" width="5.75" style="6" customWidth="1"/>
    <col min="8706" max="8706" width="20.25" style="6" customWidth="1"/>
    <col min="8707" max="8713" width="12.625" style="6" customWidth="1"/>
    <col min="8714" max="8714" width="7.75" style="6" customWidth="1"/>
    <col min="8715" max="8715" width="10.125" style="6" customWidth="1"/>
    <col min="8716" max="8960" width="9" style="6"/>
    <col min="8961" max="8961" width="5.75" style="6" customWidth="1"/>
    <col min="8962" max="8962" width="20.25" style="6" customWidth="1"/>
    <col min="8963" max="8969" width="12.625" style="6" customWidth="1"/>
    <col min="8970" max="8970" width="7.75" style="6" customWidth="1"/>
    <col min="8971" max="8971" width="10.125" style="6" customWidth="1"/>
    <col min="8972" max="9216" width="9" style="6"/>
    <col min="9217" max="9217" width="5.75" style="6" customWidth="1"/>
    <col min="9218" max="9218" width="20.25" style="6" customWidth="1"/>
    <col min="9219" max="9225" width="12.625" style="6" customWidth="1"/>
    <col min="9226" max="9226" width="7.75" style="6" customWidth="1"/>
    <col min="9227" max="9227" width="10.125" style="6" customWidth="1"/>
    <col min="9228" max="9472" width="9" style="6"/>
    <col min="9473" max="9473" width="5.75" style="6" customWidth="1"/>
    <col min="9474" max="9474" width="20.25" style="6" customWidth="1"/>
    <col min="9475" max="9481" width="12.625" style="6" customWidth="1"/>
    <col min="9482" max="9482" width="7.75" style="6" customWidth="1"/>
    <col min="9483" max="9483" width="10.125" style="6" customWidth="1"/>
    <col min="9484" max="9728" width="9" style="6"/>
    <col min="9729" max="9729" width="5.75" style="6" customWidth="1"/>
    <col min="9730" max="9730" width="20.25" style="6" customWidth="1"/>
    <col min="9731" max="9737" width="12.625" style="6" customWidth="1"/>
    <col min="9738" max="9738" width="7.75" style="6" customWidth="1"/>
    <col min="9739" max="9739" width="10.125" style="6" customWidth="1"/>
    <col min="9740" max="9984" width="9" style="6"/>
    <col min="9985" max="9985" width="5.75" style="6" customWidth="1"/>
    <col min="9986" max="9986" width="20.25" style="6" customWidth="1"/>
    <col min="9987" max="9993" width="12.625" style="6" customWidth="1"/>
    <col min="9994" max="9994" width="7.75" style="6" customWidth="1"/>
    <col min="9995" max="9995" width="10.125" style="6" customWidth="1"/>
    <col min="9996" max="10240" width="9" style="6"/>
    <col min="10241" max="10241" width="5.75" style="6" customWidth="1"/>
    <col min="10242" max="10242" width="20.25" style="6" customWidth="1"/>
    <col min="10243" max="10249" width="12.625" style="6" customWidth="1"/>
    <col min="10250" max="10250" width="7.75" style="6" customWidth="1"/>
    <col min="10251" max="10251" width="10.125" style="6" customWidth="1"/>
    <col min="10252" max="10496" width="9" style="6"/>
    <col min="10497" max="10497" width="5.75" style="6" customWidth="1"/>
    <col min="10498" max="10498" width="20.25" style="6" customWidth="1"/>
    <col min="10499" max="10505" width="12.625" style="6" customWidth="1"/>
    <col min="10506" max="10506" width="7.75" style="6" customWidth="1"/>
    <col min="10507" max="10507" width="10.125" style="6" customWidth="1"/>
    <col min="10508" max="10752" width="9" style="6"/>
    <col min="10753" max="10753" width="5.75" style="6" customWidth="1"/>
    <col min="10754" max="10754" width="20.25" style="6" customWidth="1"/>
    <col min="10755" max="10761" width="12.625" style="6" customWidth="1"/>
    <col min="10762" max="10762" width="7.75" style="6" customWidth="1"/>
    <col min="10763" max="10763" width="10.125" style="6" customWidth="1"/>
    <col min="10764" max="11008" width="9" style="6"/>
    <col min="11009" max="11009" width="5.75" style="6" customWidth="1"/>
    <col min="11010" max="11010" width="20.25" style="6" customWidth="1"/>
    <col min="11011" max="11017" width="12.625" style="6" customWidth="1"/>
    <col min="11018" max="11018" width="7.75" style="6" customWidth="1"/>
    <col min="11019" max="11019" width="10.125" style="6" customWidth="1"/>
    <col min="11020" max="11264" width="9" style="6"/>
    <col min="11265" max="11265" width="5.75" style="6" customWidth="1"/>
    <col min="11266" max="11266" width="20.25" style="6" customWidth="1"/>
    <col min="11267" max="11273" width="12.625" style="6" customWidth="1"/>
    <col min="11274" max="11274" width="7.75" style="6" customWidth="1"/>
    <col min="11275" max="11275" width="10.125" style="6" customWidth="1"/>
    <col min="11276" max="11520" width="9" style="6"/>
    <col min="11521" max="11521" width="5.75" style="6" customWidth="1"/>
    <col min="11522" max="11522" width="20.25" style="6" customWidth="1"/>
    <col min="11523" max="11529" width="12.625" style="6" customWidth="1"/>
    <col min="11530" max="11530" width="7.75" style="6" customWidth="1"/>
    <col min="11531" max="11531" width="10.125" style="6" customWidth="1"/>
    <col min="11532" max="11776" width="9" style="6"/>
    <col min="11777" max="11777" width="5.75" style="6" customWidth="1"/>
    <col min="11778" max="11778" width="20.25" style="6" customWidth="1"/>
    <col min="11779" max="11785" width="12.625" style="6" customWidth="1"/>
    <col min="11786" max="11786" width="7.75" style="6" customWidth="1"/>
    <col min="11787" max="11787" width="10.125" style="6" customWidth="1"/>
    <col min="11788" max="12032" width="9" style="6"/>
    <col min="12033" max="12033" width="5.75" style="6" customWidth="1"/>
    <col min="12034" max="12034" width="20.25" style="6" customWidth="1"/>
    <col min="12035" max="12041" width="12.625" style="6" customWidth="1"/>
    <col min="12042" max="12042" width="7.75" style="6" customWidth="1"/>
    <col min="12043" max="12043" width="10.125" style="6" customWidth="1"/>
    <col min="12044" max="12288" width="9" style="6"/>
    <col min="12289" max="12289" width="5.75" style="6" customWidth="1"/>
    <col min="12290" max="12290" width="20.25" style="6" customWidth="1"/>
    <col min="12291" max="12297" width="12.625" style="6" customWidth="1"/>
    <col min="12298" max="12298" width="7.75" style="6" customWidth="1"/>
    <col min="12299" max="12299" width="10.125" style="6" customWidth="1"/>
    <col min="12300" max="12544" width="9" style="6"/>
    <col min="12545" max="12545" width="5.75" style="6" customWidth="1"/>
    <col min="12546" max="12546" width="20.25" style="6" customWidth="1"/>
    <col min="12547" max="12553" width="12.625" style="6" customWidth="1"/>
    <col min="12554" max="12554" width="7.75" style="6" customWidth="1"/>
    <col min="12555" max="12555" width="10.125" style="6" customWidth="1"/>
    <col min="12556" max="12800" width="9" style="6"/>
    <col min="12801" max="12801" width="5.75" style="6" customWidth="1"/>
    <col min="12802" max="12802" width="20.25" style="6" customWidth="1"/>
    <col min="12803" max="12809" width="12.625" style="6" customWidth="1"/>
    <col min="12810" max="12810" width="7.75" style="6" customWidth="1"/>
    <col min="12811" max="12811" width="10.125" style="6" customWidth="1"/>
    <col min="12812" max="13056" width="9" style="6"/>
    <col min="13057" max="13057" width="5.75" style="6" customWidth="1"/>
    <col min="13058" max="13058" width="20.25" style="6" customWidth="1"/>
    <col min="13059" max="13065" width="12.625" style="6" customWidth="1"/>
    <col min="13066" max="13066" width="7.75" style="6" customWidth="1"/>
    <col min="13067" max="13067" width="10.125" style="6" customWidth="1"/>
    <col min="13068" max="13312" width="9" style="6"/>
    <col min="13313" max="13313" width="5.75" style="6" customWidth="1"/>
    <col min="13314" max="13314" width="20.25" style="6" customWidth="1"/>
    <col min="13315" max="13321" width="12.625" style="6" customWidth="1"/>
    <col min="13322" max="13322" width="7.75" style="6" customWidth="1"/>
    <col min="13323" max="13323" width="10.125" style="6" customWidth="1"/>
    <col min="13324" max="13568" width="9" style="6"/>
    <col min="13569" max="13569" width="5.75" style="6" customWidth="1"/>
    <col min="13570" max="13570" width="20.25" style="6" customWidth="1"/>
    <col min="13571" max="13577" width="12.625" style="6" customWidth="1"/>
    <col min="13578" max="13578" width="7.75" style="6" customWidth="1"/>
    <col min="13579" max="13579" width="10.125" style="6" customWidth="1"/>
    <col min="13580" max="13824" width="9" style="6"/>
    <col min="13825" max="13825" width="5.75" style="6" customWidth="1"/>
    <col min="13826" max="13826" width="20.25" style="6" customWidth="1"/>
    <col min="13827" max="13833" width="12.625" style="6" customWidth="1"/>
    <col min="13834" max="13834" width="7.75" style="6" customWidth="1"/>
    <col min="13835" max="13835" width="10.125" style="6" customWidth="1"/>
    <col min="13836" max="14080" width="9" style="6"/>
    <col min="14081" max="14081" width="5.75" style="6" customWidth="1"/>
    <col min="14082" max="14082" width="20.25" style="6" customWidth="1"/>
    <col min="14083" max="14089" width="12.625" style="6" customWidth="1"/>
    <col min="14090" max="14090" width="7.75" style="6" customWidth="1"/>
    <col min="14091" max="14091" width="10.125" style="6" customWidth="1"/>
    <col min="14092" max="14336" width="9" style="6"/>
    <col min="14337" max="14337" width="5.75" style="6" customWidth="1"/>
    <col min="14338" max="14338" width="20.25" style="6" customWidth="1"/>
    <col min="14339" max="14345" width="12.625" style="6" customWidth="1"/>
    <col min="14346" max="14346" width="7.75" style="6" customWidth="1"/>
    <col min="14347" max="14347" width="10.125" style="6" customWidth="1"/>
    <col min="14348" max="14592" width="9" style="6"/>
    <col min="14593" max="14593" width="5.75" style="6" customWidth="1"/>
    <col min="14594" max="14594" width="20.25" style="6" customWidth="1"/>
    <col min="14595" max="14601" width="12.625" style="6" customWidth="1"/>
    <col min="14602" max="14602" width="7.75" style="6" customWidth="1"/>
    <col min="14603" max="14603" width="10.125" style="6" customWidth="1"/>
    <col min="14604" max="14848" width="9" style="6"/>
    <col min="14849" max="14849" width="5.75" style="6" customWidth="1"/>
    <col min="14850" max="14850" width="20.25" style="6" customWidth="1"/>
    <col min="14851" max="14857" width="12.625" style="6" customWidth="1"/>
    <col min="14858" max="14858" width="7.75" style="6" customWidth="1"/>
    <col min="14859" max="14859" width="10.125" style="6" customWidth="1"/>
    <col min="14860" max="15104" width="9" style="6"/>
    <col min="15105" max="15105" width="5.75" style="6" customWidth="1"/>
    <col min="15106" max="15106" width="20.25" style="6" customWidth="1"/>
    <col min="15107" max="15113" width="12.625" style="6" customWidth="1"/>
    <col min="15114" max="15114" width="7.75" style="6" customWidth="1"/>
    <col min="15115" max="15115" width="10.125" style="6" customWidth="1"/>
    <col min="15116" max="15360" width="9" style="6"/>
    <col min="15361" max="15361" width="5.75" style="6" customWidth="1"/>
    <col min="15362" max="15362" width="20.25" style="6" customWidth="1"/>
    <col min="15363" max="15369" width="12.625" style="6" customWidth="1"/>
    <col min="15370" max="15370" width="7.75" style="6" customWidth="1"/>
    <col min="15371" max="15371" width="10.125" style="6" customWidth="1"/>
    <col min="15372" max="15616" width="9" style="6"/>
    <col min="15617" max="15617" width="5.75" style="6" customWidth="1"/>
    <col min="15618" max="15618" width="20.25" style="6" customWidth="1"/>
    <col min="15619" max="15625" width="12.625" style="6" customWidth="1"/>
    <col min="15626" max="15626" width="7.75" style="6" customWidth="1"/>
    <col min="15627" max="15627" width="10.125" style="6" customWidth="1"/>
    <col min="15628" max="15872" width="9" style="6"/>
    <col min="15873" max="15873" width="5.75" style="6" customWidth="1"/>
    <col min="15874" max="15874" width="20.25" style="6" customWidth="1"/>
    <col min="15875" max="15881" width="12.625" style="6" customWidth="1"/>
    <col min="15882" max="15882" width="7.75" style="6" customWidth="1"/>
    <col min="15883" max="15883" width="10.125" style="6" customWidth="1"/>
    <col min="15884" max="16128" width="9" style="6"/>
    <col min="16129" max="16129" width="5.75" style="6" customWidth="1"/>
    <col min="16130" max="16130" width="20.25" style="6" customWidth="1"/>
    <col min="16131" max="16137" width="12.625" style="6" customWidth="1"/>
    <col min="16138" max="16138" width="7.75" style="6" customWidth="1"/>
    <col min="16139" max="16139" width="10.125" style="6" customWidth="1"/>
    <col min="16140" max="16384" width="9" style="6"/>
  </cols>
  <sheetData>
    <row r="1" s="1" customFormat="1" ht="15.75" spans="1:9">
      <c r="A1" s="7" t="s">
        <v>142</v>
      </c>
      <c r="B1" s="8"/>
      <c r="C1" s="8"/>
      <c r="D1" s="8"/>
      <c r="E1" s="8"/>
      <c r="F1" s="8"/>
      <c r="G1" s="8"/>
      <c r="H1" s="8"/>
      <c r="I1" s="8"/>
    </row>
    <row r="2" s="2" customFormat="1" ht="31.5" spans="1:9">
      <c r="A2" s="9" t="s">
        <v>1</v>
      </c>
      <c r="B2" s="9" t="s">
        <v>143</v>
      </c>
      <c r="C2" s="9" t="s">
        <v>144</v>
      </c>
      <c r="D2" s="9" t="s">
        <v>145</v>
      </c>
      <c r="E2" s="9" t="s">
        <v>146</v>
      </c>
      <c r="F2" s="10" t="s">
        <v>147</v>
      </c>
      <c r="G2" s="9" t="s">
        <v>148</v>
      </c>
      <c r="H2" s="9" t="s">
        <v>149</v>
      </c>
      <c r="I2" s="9" t="s">
        <v>150</v>
      </c>
    </row>
    <row r="3" s="3" customFormat="1" ht="15.75" spans="1:10">
      <c r="A3" s="11">
        <v>1</v>
      </c>
      <c r="B3" s="12" t="s">
        <v>151</v>
      </c>
      <c r="C3" s="13" t="e">
        <f>#REF!</f>
        <v>#REF!</v>
      </c>
      <c r="D3" s="14" t="e">
        <f t="shared" ref="D3:D14" si="0">ROUND(IF(C3&gt;8000,249.6+(C3-8000)/(10000-8000)*(304.8-249.6),IF(C3&gt;5000,163.9+(C3-5000)/(8000-5000)*(249.6-163.9),IF(C3&gt;3000,103.8+(C3-3000)/(5000-3000)*(163.9-103.8),IF(C3&gt;1000,38.8+(C3-1000)/(3000-1000)*(103.8-38.8),IF(C3&gt;1000,38.8+(C3-1000)/(3000-1000)*(103.8-38.8),IF(C3&gt;500,20.9+(C3-500)/(1000-500)*(38.8-20.9),IF(C3&gt;200,9+(C3-200)/(500-200)*(20.9-9),C3*4.5%))))))),2)</f>
        <v>#REF!</v>
      </c>
      <c r="E3" s="15">
        <v>1</v>
      </c>
      <c r="F3" s="16">
        <v>1.1</v>
      </c>
      <c r="G3" s="17">
        <v>1</v>
      </c>
      <c r="H3" s="18">
        <v>1</v>
      </c>
      <c r="I3" s="17" t="e">
        <f>D3*E3*F3*G3*H3</f>
        <v>#REF!</v>
      </c>
      <c r="J3" s="35"/>
    </row>
    <row r="4" s="3" customFormat="1" ht="15.75" spans="1:10">
      <c r="A4" s="11">
        <v>2</v>
      </c>
      <c r="B4" s="12" t="s">
        <v>152</v>
      </c>
      <c r="C4" s="13">
        <v>0</v>
      </c>
      <c r="D4" s="14">
        <f t="shared" si="0"/>
        <v>0</v>
      </c>
      <c r="E4" s="15">
        <v>1</v>
      </c>
      <c r="F4" s="16">
        <v>1</v>
      </c>
      <c r="G4" s="17">
        <v>1</v>
      </c>
      <c r="H4" s="18">
        <v>1</v>
      </c>
      <c r="I4" s="17">
        <f t="shared" ref="I4:I14" si="1">D4*E4*F4*G4*H4</f>
        <v>0</v>
      </c>
      <c r="J4" s="35"/>
    </row>
    <row r="5" s="3" customFormat="1" ht="15.75" spans="1:10">
      <c r="A5" s="11">
        <v>5</v>
      </c>
      <c r="B5" s="12" t="s">
        <v>153</v>
      </c>
      <c r="C5" s="13">
        <v>0</v>
      </c>
      <c r="D5" s="14">
        <f t="shared" si="0"/>
        <v>0</v>
      </c>
      <c r="E5" s="15">
        <v>0.9</v>
      </c>
      <c r="F5" s="16">
        <v>1</v>
      </c>
      <c r="G5" s="17">
        <v>1</v>
      </c>
      <c r="H5" s="18">
        <v>1</v>
      </c>
      <c r="I5" s="17">
        <f t="shared" si="1"/>
        <v>0</v>
      </c>
      <c r="J5" s="35"/>
    </row>
    <row r="6" s="3" customFormat="1" ht="15.75" spans="1:10">
      <c r="A6" s="11">
        <v>5</v>
      </c>
      <c r="B6" s="12" t="s">
        <v>154</v>
      </c>
      <c r="C6" s="13">
        <v>0</v>
      </c>
      <c r="D6" s="14">
        <f t="shared" si="0"/>
        <v>0</v>
      </c>
      <c r="E6" s="15">
        <v>0.9</v>
      </c>
      <c r="F6" s="16">
        <v>1</v>
      </c>
      <c r="G6" s="17">
        <v>1</v>
      </c>
      <c r="H6" s="18">
        <v>1</v>
      </c>
      <c r="I6" s="17">
        <f t="shared" si="1"/>
        <v>0</v>
      </c>
      <c r="J6" s="35"/>
    </row>
    <row r="7" s="3" customFormat="1" ht="15.75" spans="1:10">
      <c r="A7" s="11">
        <v>12</v>
      </c>
      <c r="B7" s="12" t="s">
        <v>155</v>
      </c>
      <c r="C7" s="13">
        <v>0</v>
      </c>
      <c r="D7" s="14">
        <f t="shared" si="0"/>
        <v>0</v>
      </c>
      <c r="E7" s="15">
        <v>1</v>
      </c>
      <c r="F7" s="16">
        <v>1</v>
      </c>
      <c r="G7" s="17">
        <v>1</v>
      </c>
      <c r="H7" s="18">
        <v>1</v>
      </c>
      <c r="I7" s="17">
        <f t="shared" si="1"/>
        <v>0</v>
      </c>
      <c r="J7" s="35"/>
    </row>
    <row r="8" s="3" customFormat="1" ht="15.75" spans="1:10">
      <c r="A8" s="11">
        <v>12</v>
      </c>
      <c r="B8" s="12" t="s">
        <v>156</v>
      </c>
      <c r="C8" s="14">
        <v>0</v>
      </c>
      <c r="D8" s="14">
        <f t="shared" si="0"/>
        <v>0</v>
      </c>
      <c r="E8" s="15">
        <v>1</v>
      </c>
      <c r="F8" s="16">
        <v>1</v>
      </c>
      <c r="G8" s="17">
        <v>1</v>
      </c>
      <c r="H8" s="18">
        <v>1</v>
      </c>
      <c r="I8" s="17">
        <f t="shared" si="1"/>
        <v>0</v>
      </c>
      <c r="J8" s="35"/>
    </row>
    <row r="9" s="3" customFormat="1" ht="15.75" spans="1:10">
      <c r="A9" s="11">
        <v>4</v>
      </c>
      <c r="B9" s="12" t="s">
        <v>157</v>
      </c>
      <c r="C9" s="13">
        <v>0</v>
      </c>
      <c r="D9" s="14">
        <f t="shared" si="0"/>
        <v>0</v>
      </c>
      <c r="E9" s="15">
        <v>1</v>
      </c>
      <c r="F9" s="16">
        <v>1</v>
      </c>
      <c r="G9" s="17">
        <v>1</v>
      </c>
      <c r="H9" s="18">
        <v>1</v>
      </c>
      <c r="I9" s="17">
        <f t="shared" si="1"/>
        <v>0</v>
      </c>
      <c r="J9" s="35"/>
    </row>
    <row r="10" s="3" customFormat="1" ht="15.75" spans="1:9">
      <c r="A10" s="19">
        <v>11</v>
      </c>
      <c r="B10" s="12" t="s">
        <v>158</v>
      </c>
      <c r="C10" s="13">
        <v>0</v>
      </c>
      <c r="D10" s="14">
        <f t="shared" si="0"/>
        <v>0</v>
      </c>
      <c r="E10" s="15">
        <v>1</v>
      </c>
      <c r="F10" s="16">
        <v>1</v>
      </c>
      <c r="G10" s="16">
        <v>1</v>
      </c>
      <c r="H10" s="18">
        <v>1</v>
      </c>
      <c r="I10" s="17">
        <f t="shared" si="1"/>
        <v>0</v>
      </c>
    </row>
    <row r="11" s="3" customFormat="1" ht="15.75" spans="1:10">
      <c r="A11" s="11">
        <v>15</v>
      </c>
      <c r="B11" s="12" t="s">
        <v>159</v>
      </c>
      <c r="C11" s="13">
        <v>0</v>
      </c>
      <c r="D11" s="14">
        <f t="shared" si="0"/>
        <v>0</v>
      </c>
      <c r="E11" s="15">
        <v>1</v>
      </c>
      <c r="F11" s="17">
        <v>1</v>
      </c>
      <c r="G11" s="17">
        <v>1</v>
      </c>
      <c r="H11" s="18">
        <v>1</v>
      </c>
      <c r="I11" s="17">
        <f t="shared" si="1"/>
        <v>0</v>
      </c>
      <c r="J11" s="35"/>
    </row>
    <row r="12" s="3" customFormat="1" ht="15.75" spans="1:10">
      <c r="A12" s="11">
        <v>14</v>
      </c>
      <c r="B12" s="12" t="s">
        <v>160</v>
      </c>
      <c r="C12" s="13">
        <v>0</v>
      </c>
      <c r="D12" s="14">
        <f t="shared" si="0"/>
        <v>0</v>
      </c>
      <c r="E12" s="15">
        <v>1</v>
      </c>
      <c r="F12" s="16">
        <v>1</v>
      </c>
      <c r="G12" s="17">
        <v>1</v>
      </c>
      <c r="H12" s="18">
        <v>1</v>
      </c>
      <c r="I12" s="17">
        <f t="shared" si="1"/>
        <v>0</v>
      </c>
      <c r="J12" s="35"/>
    </row>
    <row r="13" s="3" customFormat="1" ht="15.75" spans="1:11">
      <c r="A13" s="11">
        <v>7</v>
      </c>
      <c r="B13" s="12" t="s">
        <v>161</v>
      </c>
      <c r="C13" s="13">
        <v>0</v>
      </c>
      <c r="D13" s="14">
        <f t="shared" si="0"/>
        <v>0</v>
      </c>
      <c r="E13" s="15">
        <v>1</v>
      </c>
      <c r="F13" s="16">
        <v>1</v>
      </c>
      <c r="G13" s="17">
        <v>1</v>
      </c>
      <c r="H13" s="18">
        <v>1</v>
      </c>
      <c r="I13" s="17">
        <f t="shared" si="1"/>
        <v>0</v>
      </c>
      <c r="J13" s="35"/>
      <c r="K13" s="36"/>
    </row>
    <row r="14" s="3" customFormat="1" ht="15.75" spans="1:10">
      <c r="A14" s="11">
        <v>8</v>
      </c>
      <c r="B14" s="12" t="s">
        <v>162</v>
      </c>
      <c r="C14" s="20"/>
      <c r="D14" s="14">
        <f t="shared" si="0"/>
        <v>0</v>
      </c>
      <c r="E14" s="15">
        <v>1.1</v>
      </c>
      <c r="F14" s="16">
        <v>1</v>
      </c>
      <c r="G14" s="17">
        <v>1</v>
      </c>
      <c r="H14" s="18">
        <v>1</v>
      </c>
      <c r="I14" s="17">
        <f t="shared" si="1"/>
        <v>0</v>
      </c>
      <c r="J14" s="35"/>
    </row>
    <row r="15" s="4" customFormat="1" ht="15.75" spans="1:10">
      <c r="A15" s="11">
        <v>16</v>
      </c>
      <c r="B15" s="21" t="s">
        <v>9</v>
      </c>
      <c r="C15" s="22" t="e">
        <f>SUM(C3:C14)</f>
        <v>#REF!</v>
      </c>
      <c r="D15" s="23" t="e">
        <f>SUM(D3:D14)</f>
        <v>#REF!</v>
      </c>
      <c r="E15" s="24"/>
      <c r="F15" s="25"/>
      <c r="G15" s="24"/>
      <c r="H15" s="24"/>
      <c r="I15" s="22" t="e">
        <f>SUM(I3:I14)</f>
        <v>#REF!</v>
      </c>
      <c r="J15" s="35"/>
    </row>
    <row r="16" spans="1:1">
      <c r="A16" s="6"/>
    </row>
    <row r="17" ht="15.75" spans="1:11">
      <c r="A17" s="11">
        <v>1</v>
      </c>
      <c r="B17" s="26" t="s">
        <v>163</v>
      </c>
      <c r="C17" s="13" t="e">
        <f>#REF!</f>
        <v>#REF!</v>
      </c>
      <c r="D17" s="14" t="e">
        <f>ROUND(IF(C17&gt;8000,249.6+(C17-8000)/(10000-8000)*(304.8-249.6),IF(C17&gt;5000,163.9+(C17-5000)/(8000-5000)*(249.6-163.9),IF(C17&gt;3000,103.8+(C17-3000)/(5000-3000)*(163.9-103.8),IF(C17&gt;1000,38.8+(C17-1000)/(3000-1000)*(103.8-38.8),IF(C17&gt;1000,38.8+(C17-1000)/(3000-1000)*(103.8-38.8),IF(C17&gt;500,20.9+(C17-500)/(1000-500)*(38.8-20.9),IF(C17&gt;200,9+(C17-200)/(500-200)*(20.9-9),C17*4.5%))))))),2)</f>
        <v>#REF!</v>
      </c>
      <c r="E17" s="27"/>
      <c r="K17" s="6">
        <f>94*1.1</f>
        <v>103.4</v>
      </c>
    </row>
    <row r="18" spans="1:5">
      <c r="A18" s="27"/>
      <c r="B18" s="27"/>
      <c r="C18" s="27"/>
      <c r="D18" s="27"/>
      <c r="E18" s="27"/>
    </row>
    <row r="19" spans="1:1">
      <c r="A19" s="28"/>
    </row>
    <row r="20" spans="1:1">
      <c r="A20" s="29"/>
    </row>
    <row r="21" spans="1:1">
      <c r="A21" s="30"/>
    </row>
    <row r="22" spans="1:1">
      <c r="A22" s="30"/>
    </row>
    <row r="23" spans="1:2">
      <c r="A23" s="28"/>
      <c r="B23" s="31"/>
    </row>
    <row r="24" spans="1:2">
      <c r="A24" s="28"/>
      <c r="B24" s="31"/>
    </row>
    <row r="25" spans="1:1">
      <c r="A25" s="32"/>
    </row>
    <row r="26" spans="1:3">
      <c r="A26" s="6"/>
      <c r="C26" s="33"/>
    </row>
    <row r="27" spans="1:3">
      <c r="A27" s="6"/>
      <c r="C27" s="34"/>
    </row>
    <row r="28" spans="1:3">
      <c r="A28" s="34"/>
      <c r="B28" s="34"/>
      <c r="C28" s="34"/>
    </row>
    <row r="29" spans="3:3">
      <c r="C29" s="34"/>
    </row>
  </sheetData>
  <mergeCells count="1">
    <mergeCell ref="A1:I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工程概算汇总表 </vt:lpstr>
      <vt:lpstr>其他费</vt:lpstr>
      <vt:lpstr>设计费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2013</dc:creator>
  <cp:lastModifiedBy>Administrator</cp:lastModifiedBy>
  <dcterms:created xsi:type="dcterms:W3CDTF">2020-07-18T10:01:00Z</dcterms:created>
  <dcterms:modified xsi:type="dcterms:W3CDTF">2026-01-01T00:10:54Z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44C63BD2AF044D57B233F606D569A113_13</vt:lpwstr>
  </property>
  <property fmtid="{D5CDD505-2E9C-101B-9397-08002B2CF9AE}" pid="4" name="CalculationRule">
    <vt:i4>0</vt:i4>
  </property>
</Properties>
</file>